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85" windowWidth="18960" windowHeight="11760" activeTab="1"/>
  </bookViews>
  <sheets>
    <sheet name="Dochody wg źródeł" sheetId="1" r:id="rId1"/>
    <sheet name="WPF" sheetId="4" r:id="rId2"/>
    <sheet name="wielkości początkowe" sheetId="5" r:id="rId3"/>
  </sheets>
  <definedNames>
    <definedName name="_xlnm.Print_Area" localSheetId="0">'Dochody wg źródeł'!$A$1:$R$47</definedName>
    <definedName name="_xlnm.Print_Titles" localSheetId="1">WPF!$6:$6</definedName>
  </definedNames>
  <calcPr calcId="125725"/>
</workbook>
</file>

<file path=xl/calcChain.xml><?xml version="1.0" encoding="utf-8"?>
<calcChain xmlns="http://schemas.openxmlformats.org/spreadsheetml/2006/main">
  <c r="C11" i="4"/>
  <c r="F20" i="1"/>
  <c r="C16" i="4" l="1"/>
  <c r="F33" i="1"/>
  <c r="F37"/>
  <c r="C17" i="4"/>
  <c r="C29"/>
  <c r="F38" i="1"/>
  <c r="F10"/>
  <c r="F22"/>
  <c r="F43"/>
  <c r="F25"/>
  <c r="I51" l="1"/>
  <c r="J51"/>
  <c r="K51"/>
  <c r="L51"/>
  <c r="M51"/>
  <c r="N51"/>
  <c r="O51"/>
  <c r="K50"/>
  <c r="L50"/>
  <c r="M50"/>
  <c r="N50"/>
  <c r="O50"/>
  <c r="H9" i="5" l="1"/>
  <c r="I9"/>
  <c r="J9"/>
  <c r="K9"/>
  <c r="L9"/>
  <c r="M9"/>
  <c r="N9"/>
  <c r="O9"/>
  <c r="P9"/>
  <c r="G9"/>
  <c r="D10" i="4" l="1"/>
  <c r="E10"/>
  <c r="F10"/>
  <c r="G10"/>
  <c r="H10"/>
  <c r="I10"/>
  <c r="J10"/>
  <c r="K10"/>
  <c r="L10"/>
  <c r="C10"/>
  <c r="P21" i="1"/>
  <c r="Q21"/>
  <c r="R21"/>
  <c r="G21"/>
  <c r="G51" s="1"/>
  <c r="H21"/>
  <c r="H51" s="1"/>
  <c r="I21"/>
  <c r="J21"/>
  <c r="K21"/>
  <c r="L21"/>
  <c r="M21"/>
  <c r="N21"/>
  <c r="O21"/>
  <c r="F21"/>
  <c r="F51" s="1"/>
  <c r="P50"/>
  <c r="Q50"/>
  <c r="R50"/>
  <c r="D49" i="4"/>
  <c r="E49"/>
  <c r="F49"/>
  <c r="G49"/>
  <c r="H49"/>
  <c r="I49"/>
  <c r="J49"/>
  <c r="K49"/>
  <c r="L49"/>
  <c r="C49"/>
  <c r="D64"/>
  <c r="E64"/>
  <c r="F64"/>
  <c r="G64"/>
  <c r="H64"/>
  <c r="I64"/>
  <c r="J64"/>
  <c r="K64"/>
  <c r="L64"/>
  <c r="C64"/>
  <c r="D58" l="1"/>
  <c r="E58"/>
  <c r="F58"/>
  <c r="G58"/>
  <c r="H58"/>
  <c r="I58"/>
  <c r="J58"/>
  <c r="K58"/>
  <c r="L58"/>
  <c r="C58"/>
  <c r="D47"/>
  <c r="E47"/>
  <c r="F47"/>
  <c r="G47"/>
  <c r="H47"/>
  <c r="I47"/>
  <c r="J47"/>
  <c r="K47"/>
  <c r="L47"/>
  <c r="C47"/>
  <c r="D46"/>
  <c r="E46"/>
  <c r="F46"/>
  <c r="G46"/>
  <c r="H46"/>
  <c r="I46"/>
  <c r="J46"/>
  <c r="K46"/>
  <c r="L46"/>
  <c r="C46"/>
  <c r="D43"/>
  <c r="E43"/>
  <c r="F43"/>
  <c r="H43"/>
  <c r="L10" i="5" s="1"/>
  <c r="I43" i="4"/>
  <c r="M10" i="5" s="1"/>
  <c r="J43" i="4"/>
  <c r="N10" i="5" s="1"/>
  <c r="K43" i="4"/>
  <c r="O10" i="5" s="1"/>
  <c r="L43" i="4"/>
  <c r="P10" i="5" s="1"/>
  <c r="C43" i="4"/>
  <c r="L8" i="5"/>
  <c r="M8"/>
  <c r="N8"/>
  <c r="O8"/>
  <c r="P8"/>
  <c r="D24" i="4"/>
  <c r="E24"/>
  <c r="F24"/>
  <c r="G24"/>
  <c r="H24"/>
  <c r="I24"/>
  <c r="J24"/>
  <c r="K24"/>
  <c r="L24"/>
  <c r="C24"/>
  <c r="H8"/>
  <c r="I8"/>
  <c r="J8"/>
  <c r="K8"/>
  <c r="L8"/>
  <c r="C12" i="5"/>
  <c r="D12"/>
  <c r="E12"/>
  <c r="F12"/>
  <c r="I10" l="1"/>
  <c r="J10"/>
  <c r="H10"/>
  <c r="G10"/>
  <c r="C44" i="4"/>
  <c r="K44"/>
  <c r="I44"/>
  <c r="L44"/>
  <c r="J44"/>
  <c r="H44"/>
  <c r="F44"/>
  <c r="E44"/>
  <c r="D44"/>
  <c r="C38"/>
  <c r="F6" i="1"/>
  <c r="H6"/>
  <c r="J6"/>
  <c r="L6"/>
  <c r="L5" s="1"/>
  <c r="L39" s="1"/>
  <c r="L47" s="1"/>
  <c r="N6"/>
  <c r="N5" s="1"/>
  <c r="N39" s="1"/>
  <c r="E7"/>
  <c r="E6" s="1"/>
  <c r="E5" s="1"/>
  <c r="F7"/>
  <c r="G7"/>
  <c r="G6" s="1"/>
  <c r="H7"/>
  <c r="I7"/>
  <c r="I6" s="1"/>
  <c r="I50" s="1"/>
  <c r="J7"/>
  <c r="K7"/>
  <c r="K6" s="1"/>
  <c r="L7"/>
  <c r="M7"/>
  <c r="M6" s="1"/>
  <c r="N7"/>
  <c r="O7"/>
  <c r="O6" s="1"/>
  <c r="C8"/>
  <c r="P8"/>
  <c r="P7" s="1"/>
  <c r="P6" s="1"/>
  <c r="Q8"/>
  <c r="R8" s="1"/>
  <c r="C9"/>
  <c r="P9"/>
  <c r="Q9"/>
  <c r="R9" s="1"/>
  <c r="C10"/>
  <c r="C11"/>
  <c r="C12"/>
  <c r="C13"/>
  <c r="C14"/>
  <c r="C15"/>
  <c r="C16"/>
  <c r="C19"/>
  <c r="C20"/>
  <c r="E21"/>
  <c r="C21" s="1"/>
  <c r="C22"/>
  <c r="C24"/>
  <c r="C25"/>
  <c r="E26"/>
  <c r="F26"/>
  <c r="G26"/>
  <c r="H26"/>
  <c r="I26"/>
  <c r="J26"/>
  <c r="K26"/>
  <c r="L26"/>
  <c r="M26"/>
  <c r="N26"/>
  <c r="O26"/>
  <c r="P26"/>
  <c r="Q26"/>
  <c r="R26"/>
  <c r="C27"/>
  <c r="C28"/>
  <c r="C29"/>
  <c r="C30"/>
  <c r="E32"/>
  <c r="F32"/>
  <c r="G32"/>
  <c r="H32"/>
  <c r="I32"/>
  <c r="J32"/>
  <c r="K32"/>
  <c r="L32"/>
  <c r="M32"/>
  <c r="N32"/>
  <c r="O32"/>
  <c r="P32"/>
  <c r="Q32"/>
  <c r="R32"/>
  <c r="C33"/>
  <c r="C34"/>
  <c r="C35"/>
  <c r="C36"/>
  <c r="C37"/>
  <c r="C38"/>
  <c r="F42"/>
  <c r="G42"/>
  <c r="H42"/>
  <c r="I42"/>
  <c r="J42"/>
  <c r="K42"/>
  <c r="L42"/>
  <c r="M42"/>
  <c r="N42"/>
  <c r="O42"/>
  <c r="P42"/>
  <c r="Q42"/>
  <c r="R42"/>
  <c r="C9" i="4"/>
  <c r="D9"/>
  <c r="F9"/>
  <c r="G9"/>
  <c r="H9"/>
  <c r="H7" s="1"/>
  <c r="H40" s="1"/>
  <c r="J9"/>
  <c r="J7" s="1"/>
  <c r="J40" s="1"/>
  <c r="K9"/>
  <c r="K7" s="1"/>
  <c r="K40" s="1"/>
  <c r="L9"/>
  <c r="L7" s="1"/>
  <c r="L40" s="1"/>
  <c r="P51" i="1"/>
  <c r="Q51"/>
  <c r="R51"/>
  <c r="J5" l="1"/>
  <c r="J50"/>
  <c r="J8" i="5"/>
  <c r="F8" i="4"/>
  <c r="F50" i="1"/>
  <c r="C26"/>
  <c r="G50"/>
  <c r="H5"/>
  <c r="H39" s="1"/>
  <c r="H47" s="1"/>
  <c r="H50"/>
  <c r="F7" i="4"/>
  <c r="F40" s="1"/>
  <c r="J39" i="1"/>
  <c r="C32"/>
  <c r="H8" i="5"/>
  <c r="D8" i="4"/>
  <c r="F5" i="1"/>
  <c r="F39" s="1"/>
  <c r="F47" s="1"/>
  <c r="F53"/>
  <c r="G11" i="5" s="1"/>
  <c r="K19" i="4"/>
  <c r="K23" s="1"/>
  <c r="K28" s="1"/>
  <c r="K32" s="1"/>
  <c r="K41"/>
  <c r="K37"/>
  <c r="L19"/>
  <c r="L23" s="1"/>
  <c r="L28" s="1"/>
  <c r="L32" s="1"/>
  <c r="L37"/>
  <c r="L41"/>
  <c r="J19"/>
  <c r="J23" s="1"/>
  <c r="J28" s="1"/>
  <c r="J32" s="1"/>
  <c r="J41"/>
  <c r="J37"/>
  <c r="H19"/>
  <c r="H23" s="1"/>
  <c r="H28" s="1"/>
  <c r="H32" s="1"/>
  <c r="H37"/>
  <c r="H41"/>
  <c r="F37"/>
  <c r="L53" i="1"/>
  <c r="I9" i="4"/>
  <c r="I7" s="1"/>
  <c r="H53" i="1"/>
  <c r="I11" i="5" s="1"/>
  <c r="E9" i="4"/>
  <c r="H45"/>
  <c r="L45"/>
  <c r="K45"/>
  <c r="F45"/>
  <c r="J45"/>
  <c r="M11" i="5"/>
  <c r="M12" s="1"/>
  <c r="N53" i="1"/>
  <c r="O11" i="5" s="1"/>
  <c r="O12" s="1"/>
  <c r="J53" i="1"/>
  <c r="N47"/>
  <c r="J47"/>
  <c r="O5"/>
  <c r="O39" s="1"/>
  <c r="O47" s="1"/>
  <c r="R7"/>
  <c r="R6" s="1"/>
  <c r="P53"/>
  <c r="P5"/>
  <c r="P39" s="1"/>
  <c r="P47" s="1"/>
  <c r="M5"/>
  <c r="M39" s="1"/>
  <c r="M47" s="1"/>
  <c r="M53"/>
  <c r="N11" i="5" s="1"/>
  <c r="N12" s="1"/>
  <c r="K5" i="1"/>
  <c r="K39" s="1"/>
  <c r="K47" s="1"/>
  <c r="K53"/>
  <c r="L11" i="5" s="1"/>
  <c r="L12" s="1"/>
  <c r="I5" i="1"/>
  <c r="I39" s="1"/>
  <c r="I47" s="1"/>
  <c r="G5"/>
  <c r="G39" s="1"/>
  <c r="G47" s="1"/>
  <c r="G53"/>
  <c r="H11" i="5" s="1"/>
  <c r="E39" i="1"/>
  <c r="Q7"/>
  <c r="Q6" s="1"/>
  <c r="C7"/>
  <c r="H12" i="5" l="1"/>
  <c r="F19" i="4"/>
  <c r="F23" s="1"/>
  <c r="F28" s="1"/>
  <c r="F32" s="1"/>
  <c r="F41"/>
  <c r="K8" i="5"/>
  <c r="G8" i="4"/>
  <c r="G7" s="1"/>
  <c r="I8" i="5"/>
  <c r="I12" s="1"/>
  <c r="E8" i="4"/>
  <c r="I45"/>
  <c r="I40"/>
  <c r="D7"/>
  <c r="D37" s="1"/>
  <c r="D40"/>
  <c r="C5" i="1"/>
  <c r="K38" i="4"/>
  <c r="K39" s="1"/>
  <c r="I19"/>
  <c r="I23" s="1"/>
  <c r="I28" s="1"/>
  <c r="I32" s="1"/>
  <c r="I41"/>
  <c r="I37"/>
  <c r="K11" i="5"/>
  <c r="L38" i="4"/>
  <c r="L39" s="1"/>
  <c r="C8"/>
  <c r="G8" i="5"/>
  <c r="G12" s="1"/>
  <c r="I53" i="1"/>
  <c r="R53"/>
  <c r="R5"/>
  <c r="R39" s="1"/>
  <c r="R47" s="1"/>
  <c r="C39"/>
  <c r="Q5"/>
  <c r="Q39" s="1"/>
  <c r="Q47" s="1"/>
  <c r="Q53"/>
  <c r="O53"/>
  <c r="G40" i="4" l="1"/>
  <c r="G37"/>
  <c r="G41"/>
  <c r="D41"/>
  <c r="D45"/>
  <c r="D19"/>
  <c r="D23" s="1"/>
  <c r="D28" s="1"/>
  <c r="D32" s="1"/>
  <c r="E7"/>
  <c r="C7"/>
  <c r="C40" s="1"/>
  <c r="J11" i="5"/>
  <c r="J12" s="1"/>
  <c r="G38" i="4" s="1"/>
  <c r="P11" i="5"/>
  <c r="P12" s="1"/>
  <c r="C19" i="4"/>
  <c r="C23" s="1"/>
  <c r="C28" s="1"/>
  <c r="C32" s="1"/>
  <c r="D38"/>
  <c r="D39" s="1"/>
  <c r="F38"/>
  <c r="F39" s="1"/>
  <c r="E38"/>
  <c r="G43"/>
  <c r="G44" s="1"/>
  <c r="G45" s="1"/>
  <c r="G19"/>
  <c r="G23" s="1"/>
  <c r="G28" s="1"/>
  <c r="G32" s="1"/>
  <c r="G39" l="1"/>
  <c r="C37"/>
  <c r="C39" s="1"/>
  <c r="E40"/>
  <c r="E37"/>
  <c r="E39" s="1"/>
  <c r="E19"/>
  <c r="E23" s="1"/>
  <c r="E28" s="1"/>
  <c r="E32" s="1"/>
  <c r="E41"/>
  <c r="E45"/>
  <c r="C41"/>
  <c r="C45"/>
  <c r="K10" i="5"/>
  <c r="K12" s="1"/>
  <c r="J38" i="4" s="1"/>
  <c r="J39" s="1"/>
  <c r="I38" l="1"/>
  <c r="I39" s="1"/>
  <c r="H38"/>
  <c r="H39" s="1"/>
</calcChain>
</file>

<file path=xl/sharedStrings.xml><?xml version="1.0" encoding="utf-8"?>
<sst xmlns="http://schemas.openxmlformats.org/spreadsheetml/2006/main" count="148" uniqueCount="124">
  <si>
    <t>DOCHODY MAJĄTKOWE</t>
  </si>
  <si>
    <t>DOCHODY BIEŻĄCE</t>
  </si>
  <si>
    <t>DOCHODY OGÓŁEM</t>
  </si>
  <si>
    <t>MAJĄTKOWE</t>
  </si>
  <si>
    <t>BIEŻĄCE</t>
  </si>
  <si>
    <t>Zadania zlecone i powierzone</t>
  </si>
  <si>
    <t>DOCHODY ogółem</t>
  </si>
  <si>
    <t>w tym majątkowe:</t>
  </si>
  <si>
    <t>3. Porozumienia między jednostkami samorządu terytorialnego</t>
  </si>
  <si>
    <t>2. Dotacje celowe do zadań realizowanych w ramach RPO i POKL</t>
  </si>
  <si>
    <t>1. Z budżetu państwa (RPO; PO KL)</t>
  </si>
  <si>
    <t>DOTACJE CELOWE NA ZADANIA WŁASNE</t>
  </si>
  <si>
    <t>III</t>
  </si>
  <si>
    <t>4. Część uzupełniająca</t>
  </si>
  <si>
    <t>3. Część regionalna</t>
  </si>
  <si>
    <t>2. Część wyrównawcza</t>
  </si>
  <si>
    <t>1. Część oświatowa</t>
  </si>
  <si>
    <t>SUBWENCJA OGÓLNA</t>
  </si>
  <si>
    <t>II</t>
  </si>
  <si>
    <t>3. Środki ze źródeł pozabudżetowych</t>
  </si>
  <si>
    <t>12.Środki ze źródeł pozabudżetowych</t>
  </si>
  <si>
    <t>10. Opłata za wyłączenie gruntów rolnych z produkcji</t>
  </si>
  <si>
    <t>9. Opłata za udostępnianie dokumentów i materiałów zasobu geodezyjnego</t>
  </si>
  <si>
    <t>8. Wpływy za wydawanie zezwoleń na obrót hurtowy napojami alkoholowymi o zawartości do 18% alkoholu</t>
  </si>
  <si>
    <t>7. Odsetki od środków finansowych na rachunkach bankowych i bonów skarbowych</t>
  </si>
  <si>
    <t>6. 5% dochodów uzyskiwanych na rzecz budżetu państwa w związku z realizacją zadań z zakresu administracji rządowej oraz innych zadań zleconych ustawami, o ile odrębne przepisy nie stanowią inaczej</t>
  </si>
  <si>
    <t>5. 2% wpływów z opłaty produktowej</t>
  </si>
  <si>
    <t>4. Wpływy z opłat za koncesje i licencje</t>
  </si>
  <si>
    <t>3. 10% kwoty uzyskiwanej w związku z gromadzeniem środków z opłat i kar za korzystanie ze środowiska</t>
  </si>
  <si>
    <t xml:space="preserve">     - udział w podatku dochodowym od osób prawnych (14,75%)</t>
  </si>
  <si>
    <t xml:space="preserve">     - udział w podatku dochodowym od osób fizycznych (1,6%)</t>
  </si>
  <si>
    <t>1. Udział w podatkach stanowiących dochód budżetu państwa, w tym:</t>
  </si>
  <si>
    <t>w tym bieżące:</t>
  </si>
  <si>
    <t>DOCHODY WŁASNE - ogółem</t>
  </si>
  <si>
    <t>I</t>
  </si>
  <si>
    <t>2010 plan po zmianach</t>
  </si>
  <si>
    <t>2010*</t>
  </si>
  <si>
    <t>ŁĄCZNIE LATA 1999-2009</t>
  </si>
  <si>
    <t xml:space="preserve">Źródła dochodu </t>
  </si>
  <si>
    <t xml:space="preserve">Lp. </t>
  </si>
  <si>
    <t>TABELA 1
do WPF</t>
  </si>
  <si>
    <t>Rozchody budżetu (7a+8)</t>
  </si>
  <si>
    <t>Przychody budżetu</t>
  </si>
  <si>
    <t>Wynik budżetu (1-20)</t>
  </si>
  <si>
    <t>Wydatki ogółem (10+19)</t>
  </si>
  <si>
    <t>Wydatki bieżące razem (2+7b)</t>
  </si>
  <si>
    <t>a</t>
  </si>
  <si>
    <t>Planowana łączna kwota spłaty zobowiązań</t>
  </si>
  <si>
    <t>b</t>
  </si>
  <si>
    <t>Kwota długu, w tym:</t>
  </si>
  <si>
    <t>Wynik finansowy budżetu (9-10+11)</t>
  </si>
  <si>
    <t>Przychody (kredyty, pożyczki, emisje obligacji)</t>
  </si>
  <si>
    <t>Wydatki majątkowe, w tym:</t>
  </si>
  <si>
    <t>Środki do dyspozycji na wydatki majątkowe (6-7-8)</t>
  </si>
  <si>
    <t>Inne rozchody (bez spłaty długu np. udzielane pożyczki)</t>
  </si>
  <si>
    <t xml:space="preserve"> wydatki bieżące na obsługę długu</t>
  </si>
  <si>
    <t xml:space="preserve"> rozchody z tytułu spłaty rat kapitałowych oraz wykupu papierów wartościowych</t>
  </si>
  <si>
    <t>Spłata i obsługa długu, z tego:</t>
  </si>
  <si>
    <t>Środki do dyspozycji (3+4+5)</t>
  </si>
  <si>
    <t>Inne przychody niezwiązane z zaciąganiem długu</t>
  </si>
  <si>
    <t>Wynik budżetu po wykonaniu wydatków bieżących (bez obsługi długu) (1-2)</t>
  </si>
  <si>
    <t xml:space="preserve"> wydatki bieżące objęte limitem art. 226 ust. 4 ufp</t>
  </si>
  <si>
    <t>g</t>
  </si>
  <si>
    <t xml:space="preserve"> rezerwa celowa na zarządzanie kryzysowe</t>
  </si>
  <si>
    <t>f</t>
  </si>
  <si>
    <t xml:space="preserve"> rezerwa ogólna</t>
  </si>
  <si>
    <t>e</t>
  </si>
  <si>
    <t>d</t>
  </si>
  <si>
    <t xml:space="preserve"> z tytułu gwarancji i poręczeń, w tym:</t>
  </si>
  <si>
    <t>c</t>
  </si>
  <si>
    <t xml:space="preserve"> związane z funkcjonowaniem organów JST</t>
  </si>
  <si>
    <t xml:space="preserve"> na wynagrodzenia i składki od nich naliczane</t>
  </si>
  <si>
    <t xml:space="preserve"> dochody majątkowe, w tym:</t>
  </si>
  <si>
    <t xml:space="preserve"> dochody bieżące</t>
  </si>
  <si>
    <t>Wyszczególnienie</t>
  </si>
  <si>
    <t>WIELOLETNIA PROGNOZA FINANSOWA</t>
  </si>
  <si>
    <t>Załącznik 1</t>
  </si>
  <si>
    <t xml:space="preserve">  ze sprzedaży majątku</t>
  </si>
  <si>
    <t>Finansowanie spłaty długu</t>
  </si>
  <si>
    <t>nadwyżka budżetowa z lat poprzednich</t>
  </si>
  <si>
    <t>wolne środki</t>
  </si>
  <si>
    <t>prywatyzacja majątku</t>
  </si>
  <si>
    <t>kredyt</t>
  </si>
  <si>
    <t>spłaty rat pożyczek</t>
  </si>
  <si>
    <t>emisja obligacji</t>
  </si>
  <si>
    <t>w tym</t>
  </si>
  <si>
    <t>Przeznaczenie nadwyżki, w tym:</t>
  </si>
  <si>
    <t>spłata zaciągniętych pożyczek</t>
  </si>
  <si>
    <t>spłata zaciągniętych kredytów</t>
  </si>
  <si>
    <t>wykup wyemitowanych obligacji</t>
  </si>
  <si>
    <t>pożyczki do udzielenia</t>
  </si>
  <si>
    <t>inne</t>
  </si>
  <si>
    <t>Finansowanie deficytu, w tym:</t>
  </si>
  <si>
    <t xml:space="preserve">pożyczki </t>
  </si>
  <si>
    <t>kredyty</t>
  </si>
  <si>
    <t>Dochody ogółem</t>
  </si>
  <si>
    <t>Wydatki bieżące</t>
  </si>
  <si>
    <t>Sprzedaż majątku</t>
  </si>
  <si>
    <t>Dochody bieżące</t>
  </si>
  <si>
    <t>Lp.</t>
  </si>
  <si>
    <t>2. Dochody jednostek budżetowych</t>
  </si>
  <si>
    <t>Wydatki bieżące (bez odsetek i prowizji od: kredytów i pożyczek oraz wyemitowanych papierów wartościowych), w tym m.in.:</t>
  </si>
  <si>
    <t xml:space="preserve">Dochody ogółem </t>
  </si>
  <si>
    <t>(Dochody bieżące + sprzedaż majątku - wydatki bieżące) / dochody ogółem</t>
  </si>
  <si>
    <t>Wielkości początkowe za lata 2007 - 2010 do obliczenia relacji,                                                                                                                                                 o której mowa w art. 243 ufp</t>
  </si>
  <si>
    <t>PROGNOZA DOCHODÓW BUDŻETU WŁASNEGO WOJEWÓDZTWA ŚLĄSKIEGO W LATACH 2011 - 2020</t>
  </si>
  <si>
    <t>1. Dochody z majątku województwa</t>
  </si>
  <si>
    <t>w tym ze sprzedaży składników majątkowych</t>
  </si>
  <si>
    <t>dochody własne (wpływy z udziału w podatku dochodowym od osób prawnych)</t>
  </si>
  <si>
    <t>w zł</t>
  </si>
  <si>
    <t xml:space="preserve"> wydatki majątkowe objęte limitem art. 226 ust. 4 ufp</t>
  </si>
  <si>
    <t xml:space="preserve">   gwarancje i poręczenia podlegające wyłączeniu z limitów spłaty zobowiązań z art. 243 ufp / 169 sufp</t>
  </si>
  <si>
    <t xml:space="preserve"> łączna kwota wyłączeń z art. 243 ust. 3 pkt 1 ufp oraz art. 170 ust. 3 sufp</t>
  </si>
  <si>
    <t xml:space="preserve"> kwota wyłączeń  z art. 243 ust. 3 pkt 1 ufp oraz art. 170 ust. 3 sufp przypadająca na dany rok budżetowy</t>
  </si>
  <si>
    <t>Kwota zobowiązań związku współtworzonego przez JST przypadających do spłaty w danym roku budżetowym podlegające doliczeniu zgodnie z art. 244 ufp</t>
  </si>
  <si>
    <t xml:space="preserve"> Maksymalny dopuszczalny wskaźnik spłaty z art. 243 ufp</t>
  </si>
  <si>
    <t>Spełnienie wskaźnika spłaty z art. 243 ufp po uwzględnieniu art. 244 ufp</t>
  </si>
  <si>
    <t>Planowana łączna kwota spłaty zobowiązań/dochody ogółem - max 15% z art. 169 ufp z 2005 r.</t>
  </si>
  <si>
    <t>Zadłużenie/dochody ogółem (13-13a):1 - max 60% z art. 170 ufp z 2005 r.</t>
  </si>
  <si>
    <t>11.  Fundusze strukturalne (m.in. EFRR, EFS )</t>
  </si>
  <si>
    <t>2.  Fundusze strukturalne (m.in. EFRR, EFS )</t>
  </si>
  <si>
    <t>Nadwyżka budżetowa z lat ubiegłych plus wolne środki, zgodnie z art. 217 ufp, w tym</t>
  </si>
  <si>
    <t xml:space="preserve"> nadwyżka budżetowa z lat ubiegłych plus wolne środki, zgodnie z art. 217 ufp, angażowane na pokrycie deficytu budżetu roku bieżącego</t>
  </si>
  <si>
    <t>Dochody ogółem, z tego:</t>
  </si>
</sst>
</file>

<file path=xl/styles.xml><?xml version="1.0" encoding="utf-8"?>
<styleSheet xmlns="http://schemas.openxmlformats.org/spreadsheetml/2006/main">
  <numFmts count="4">
    <numFmt numFmtId="164" formatCode="#,##0\ _z_ł"/>
    <numFmt numFmtId="165" formatCode="0.0000"/>
    <numFmt numFmtId="166" formatCode="0.00000"/>
    <numFmt numFmtId="167" formatCode="#,##0_ ;\-#,##0\ "/>
  </numFmts>
  <fonts count="32">
    <font>
      <sz val="11"/>
      <color theme="1"/>
      <name val="Czcionka tekstu podstawowego"/>
      <family val="2"/>
      <charset val="238"/>
    </font>
    <font>
      <b/>
      <i/>
      <sz val="12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1"/>
      <color theme="1"/>
      <name val="Czcionka tekstu podstawowego"/>
      <charset val="238"/>
    </font>
    <font>
      <b/>
      <sz val="11"/>
      <color rgb="FFFF0000"/>
      <name val="Czcionka tekstu podstawowego"/>
      <charset val="238"/>
    </font>
    <font>
      <sz val="16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3" fontId="0" fillId="0" borderId="0" xfId="0" applyNumberFormat="1" applyBorder="1"/>
    <xf numFmtId="0" fontId="0" fillId="0" borderId="0" xfId="0" applyBorder="1"/>
    <xf numFmtId="3" fontId="2" fillId="0" borderId="0" xfId="0" applyNumberFormat="1" applyFont="1" applyBorder="1"/>
    <xf numFmtId="0" fontId="0" fillId="0" borderId="0" xfId="0" applyAlignment="1">
      <alignment horizontal="left"/>
    </xf>
    <xf numFmtId="3" fontId="3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7" fillId="0" borderId="5" xfId="0" applyNumberFormat="1" applyFont="1" applyFill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3" fontId="6" fillId="0" borderId="7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3" fontId="7" fillId="0" borderId="8" xfId="0" applyNumberFormat="1" applyFont="1" applyFill="1" applyBorder="1" applyAlignment="1">
      <alignment vertical="center"/>
    </xf>
    <xf numFmtId="3" fontId="8" fillId="0" borderId="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3" fontId="6" fillId="2" borderId="8" xfId="0" applyNumberFormat="1" applyFont="1" applyFill="1" applyBorder="1" applyAlignment="1">
      <alignment vertical="center"/>
    </xf>
    <xf numFmtId="3" fontId="7" fillId="2" borderId="8" xfId="0" applyNumberFormat="1" applyFont="1" applyFill="1" applyBorder="1" applyAlignment="1">
      <alignment vertical="center"/>
    </xf>
    <xf numFmtId="3" fontId="8" fillId="2" borderId="8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3" fontId="7" fillId="0" borderId="7" xfId="0" applyNumberFormat="1" applyFont="1" applyFill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/>
    </xf>
    <xf numFmtId="3" fontId="11" fillId="0" borderId="8" xfId="0" applyNumberFormat="1" applyFont="1" applyBorder="1" applyAlignment="1">
      <alignment vertical="center"/>
    </xf>
    <xf numFmtId="3" fontId="12" fillId="0" borderId="8" xfId="0" applyNumberFormat="1" applyFont="1" applyFill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3" fontId="7" fillId="0" borderId="14" xfId="0" applyNumberFormat="1" applyFont="1" applyFill="1" applyBorder="1" applyAlignment="1">
      <alignment vertical="center"/>
    </xf>
    <xf numFmtId="0" fontId="9" fillId="0" borderId="14" xfId="0" applyFont="1" applyBorder="1" applyAlignment="1">
      <alignment vertical="center" wrapText="1"/>
    </xf>
    <xf numFmtId="3" fontId="7" fillId="0" borderId="15" xfId="0" applyNumberFormat="1" applyFont="1" applyFill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8" fillId="0" borderId="15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3" fontId="6" fillId="0" borderId="16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3" fontId="4" fillId="0" borderId="18" xfId="0" applyNumberFormat="1" applyFont="1" applyFill="1" applyBorder="1" applyAlignment="1">
      <alignment vertical="center"/>
    </xf>
    <xf numFmtId="3" fontId="8" fillId="0" borderId="18" xfId="0" applyNumberFormat="1" applyFont="1" applyBorder="1" applyAlignment="1">
      <alignment horizontal="right"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0" fillId="0" borderId="0" xfId="0" applyBorder="1" applyAlignment="1"/>
    <xf numFmtId="3" fontId="6" fillId="0" borderId="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center" vertical="center"/>
    </xf>
    <xf numFmtId="0" fontId="2" fillId="0" borderId="0" xfId="0" applyFont="1" applyBorder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10" fontId="14" fillId="0" borderId="23" xfId="0" applyNumberFormat="1" applyFont="1" applyBorder="1" applyAlignment="1">
      <alignment horizontal="right" vertical="center"/>
    </xf>
    <xf numFmtId="10" fontId="14" fillId="0" borderId="25" xfId="0" applyNumberFormat="1" applyFont="1" applyBorder="1" applyAlignment="1">
      <alignment horizontal="right" vertical="center"/>
    </xf>
    <xf numFmtId="0" fontId="17" fillId="0" borderId="25" xfId="0" applyFont="1" applyBorder="1" applyAlignment="1">
      <alignment horizontal="right" vertical="center"/>
    </xf>
    <xf numFmtId="165" fontId="14" fillId="0" borderId="25" xfId="0" applyNumberFormat="1" applyFont="1" applyBorder="1" applyAlignment="1">
      <alignment horizontal="right" vertical="center"/>
    </xf>
    <xf numFmtId="0" fontId="18" fillId="0" borderId="25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25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8" fillId="0" borderId="25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31" xfId="0" applyFont="1" applyBorder="1" applyAlignment="1">
      <alignment horizontal="center" vertical="center"/>
    </xf>
    <xf numFmtId="0" fontId="20" fillId="3" borderId="32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2" fillId="0" borderId="0" xfId="0" applyFont="1" applyAlignment="1"/>
    <xf numFmtId="0" fontId="15" fillId="0" borderId="27" xfId="0" applyFont="1" applyBorder="1" applyAlignment="1">
      <alignment horizontal="center" vertical="center"/>
    </xf>
    <xf numFmtId="0" fontId="19" fillId="0" borderId="25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3" fontId="0" fillId="0" borderId="0" xfId="0" applyNumberFormat="1" applyFill="1" applyBorder="1"/>
    <xf numFmtId="3" fontId="2" fillId="0" borderId="0" xfId="0" applyNumberFormat="1" applyFont="1" applyFill="1" applyBorder="1"/>
    <xf numFmtId="164" fontId="25" fillId="0" borderId="8" xfId="0" applyNumberFormat="1" applyFont="1" applyBorder="1" applyAlignment="1">
      <alignment vertical="center"/>
    </xf>
    <xf numFmtId="164" fontId="25" fillId="0" borderId="8" xfId="0" applyNumberFormat="1" applyFont="1" applyFill="1" applyBorder="1" applyAlignment="1">
      <alignment vertical="center"/>
    </xf>
    <xf numFmtId="166" fontId="18" fillId="0" borderId="8" xfId="0" applyNumberFormat="1" applyFont="1" applyBorder="1" applyAlignment="1">
      <alignment horizontal="center" vertical="center"/>
    </xf>
    <xf numFmtId="0" fontId="0" fillId="0" borderId="0" xfId="0" applyFill="1"/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3" fontId="3" fillId="0" borderId="41" xfId="0" applyNumberFormat="1" applyFont="1" applyBorder="1" applyAlignment="1">
      <alignment vertical="center"/>
    </xf>
    <xf numFmtId="3" fontId="11" fillId="0" borderId="42" xfId="0" applyNumberFormat="1" applyFont="1" applyBorder="1" applyAlignment="1">
      <alignment vertical="center"/>
    </xf>
    <xf numFmtId="3" fontId="6" fillId="0" borderId="42" xfId="0" applyNumberFormat="1" applyFont="1" applyBorder="1" applyAlignment="1">
      <alignment vertical="center"/>
    </xf>
    <xf numFmtId="3" fontId="6" fillId="0" borderId="43" xfId="0" applyNumberFormat="1" applyFont="1" applyBorder="1" applyAlignment="1">
      <alignment vertical="center"/>
    </xf>
    <xf numFmtId="3" fontId="6" fillId="0" borderId="44" xfId="0" applyNumberFormat="1" applyFont="1" applyBorder="1" applyAlignment="1">
      <alignment vertical="center"/>
    </xf>
    <xf numFmtId="3" fontId="3" fillId="0" borderId="42" xfId="0" applyNumberFormat="1" applyFont="1" applyBorder="1" applyAlignment="1">
      <alignment vertical="center"/>
    </xf>
    <xf numFmtId="3" fontId="7" fillId="0" borderId="42" xfId="0" applyNumberFormat="1" applyFont="1" applyFill="1" applyBorder="1" applyAlignment="1">
      <alignment vertical="center"/>
    </xf>
    <xf numFmtId="3" fontId="6" fillId="0" borderId="45" xfId="0" applyNumberFormat="1" applyFont="1" applyBorder="1" applyAlignment="1">
      <alignment vertical="center"/>
    </xf>
    <xf numFmtId="3" fontId="3" fillId="0" borderId="46" xfId="0" applyNumberFormat="1" applyFont="1" applyBorder="1" applyAlignment="1">
      <alignment vertical="center"/>
    </xf>
    <xf numFmtId="0" fontId="27" fillId="0" borderId="8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 wrapText="1"/>
    </xf>
    <xf numFmtId="0" fontId="18" fillId="0" borderId="0" xfId="0" applyFont="1" applyBorder="1"/>
    <xf numFmtId="0" fontId="18" fillId="0" borderId="0" xfId="0" applyFont="1" applyBorder="1" applyAlignment="1">
      <alignment horizontal="left" wrapText="1"/>
    </xf>
    <xf numFmtId="3" fontId="18" fillId="0" borderId="0" xfId="0" applyNumberFormat="1" applyFont="1" applyBorder="1"/>
    <xf numFmtId="0" fontId="18" fillId="0" borderId="0" xfId="0" applyFont="1" applyBorder="1" applyAlignment="1">
      <alignment horizontal="right" wrapText="1"/>
    </xf>
    <xf numFmtId="3" fontId="18" fillId="0" borderId="0" xfId="0" applyNumberFormat="1" applyFont="1" applyFill="1" applyBorder="1"/>
    <xf numFmtId="0" fontId="18" fillId="0" borderId="0" xfId="0" applyFont="1" applyFill="1" applyBorder="1" applyAlignment="1">
      <alignment horizontal="right"/>
    </xf>
    <xf numFmtId="0" fontId="18" fillId="0" borderId="0" xfId="0" applyFont="1"/>
    <xf numFmtId="0" fontId="28" fillId="0" borderId="0" xfId="0" applyFont="1"/>
    <xf numFmtId="3" fontId="28" fillId="0" borderId="0" xfId="0" applyNumberFormat="1" applyFont="1"/>
    <xf numFmtId="3" fontId="29" fillId="0" borderId="0" xfId="0" applyNumberFormat="1" applyFont="1"/>
    <xf numFmtId="3" fontId="18" fillId="0" borderId="0" xfId="0" applyNumberFormat="1" applyFont="1"/>
    <xf numFmtId="0" fontId="30" fillId="0" borderId="0" xfId="0" applyFont="1"/>
    <xf numFmtId="3" fontId="12" fillId="0" borderId="42" xfId="0" applyNumberFormat="1" applyFont="1" applyFill="1" applyBorder="1" applyAlignment="1">
      <alignment vertical="center"/>
    </xf>
    <xf numFmtId="3" fontId="12" fillId="0" borderId="7" xfId="0" applyNumberFormat="1" applyFont="1" applyFill="1" applyBorder="1" applyAlignment="1">
      <alignment vertical="center"/>
    </xf>
    <xf numFmtId="0" fontId="31" fillId="0" borderId="0" xfId="0" applyFont="1" applyAlignment="1">
      <alignment horizontal="right"/>
    </xf>
    <xf numFmtId="0" fontId="31" fillId="0" borderId="0" xfId="0" applyFont="1" applyAlignment="1">
      <alignment horizontal="right" vertical="center"/>
    </xf>
    <xf numFmtId="0" fontId="15" fillId="0" borderId="28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20" fillId="3" borderId="47" xfId="0" applyFont="1" applyFill="1" applyBorder="1" applyAlignment="1">
      <alignment horizontal="center" vertical="center"/>
    </xf>
    <xf numFmtId="3" fontId="14" fillId="0" borderId="30" xfId="0" applyNumberFormat="1" applyFont="1" applyBorder="1" applyAlignment="1">
      <alignment horizontal="right" vertical="center"/>
    </xf>
    <xf numFmtId="3" fontId="14" fillId="0" borderId="25" xfId="0" applyNumberFormat="1" applyFont="1" applyBorder="1" applyAlignment="1">
      <alignment horizontal="right" vertical="center"/>
    </xf>
    <xf numFmtId="3" fontId="14" fillId="0" borderId="25" xfId="0" applyNumberFormat="1" applyFont="1" applyFill="1" applyBorder="1" applyAlignment="1">
      <alignment horizontal="right" vertical="center"/>
    </xf>
    <xf numFmtId="3" fontId="14" fillId="0" borderId="29" xfId="0" applyNumberFormat="1" applyFont="1" applyBorder="1" applyAlignment="1">
      <alignment horizontal="right" vertical="center"/>
    </xf>
    <xf numFmtId="3" fontId="14" fillId="0" borderId="23" xfId="0" applyNumberFormat="1" applyFont="1" applyBorder="1" applyAlignment="1">
      <alignment horizontal="right" vertical="center"/>
    </xf>
    <xf numFmtId="3" fontId="14" fillId="0" borderId="27" xfId="0" applyNumberFormat="1" applyFont="1" applyFill="1" applyBorder="1" applyAlignment="1">
      <alignment horizontal="right" vertical="center"/>
    </xf>
    <xf numFmtId="3" fontId="14" fillId="0" borderId="48" xfId="0" applyNumberFormat="1" applyFont="1" applyFill="1" applyBorder="1" applyAlignment="1">
      <alignment horizontal="right" vertical="center"/>
    </xf>
    <xf numFmtId="3" fontId="14" fillId="0" borderId="27" xfId="0" applyNumberFormat="1" applyFont="1" applyBorder="1" applyAlignment="1">
      <alignment horizontal="right" vertical="center"/>
    </xf>
    <xf numFmtId="167" fontId="14" fillId="0" borderId="27" xfId="0" applyNumberFormat="1" applyFont="1" applyBorder="1" applyAlignment="1">
      <alignment horizontal="right" vertical="center"/>
    </xf>
    <xf numFmtId="167" fontId="14" fillId="0" borderId="25" xfId="0" applyNumberFormat="1" applyFont="1" applyBorder="1" applyAlignment="1">
      <alignment horizontal="right" vertical="center"/>
    </xf>
    <xf numFmtId="167" fontId="14" fillId="0" borderId="38" xfId="0" applyNumberFormat="1" applyFont="1" applyBorder="1" applyAlignment="1">
      <alignment horizontal="right" vertical="center"/>
    </xf>
    <xf numFmtId="167" fontId="14" fillId="0" borderId="29" xfId="0" applyNumberFormat="1" applyFont="1" applyBorder="1" applyAlignment="1">
      <alignment horizontal="right" vertical="center"/>
    </xf>
    <xf numFmtId="167" fontId="14" fillId="0" borderId="23" xfId="0" applyNumberFormat="1" applyFont="1" applyBorder="1" applyAlignment="1">
      <alignment horizontal="right" vertical="center"/>
    </xf>
    <xf numFmtId="3" fontId="14" fillId="0" borderId="37" xfId="0" applyNumberFormat="1" applyFont="1" applyBorder="1" applyAlignment="1">
      <alignment horizontal="right" vertical="center"/>
    </xf>
    <xf numFmtId="3" fontId="14" fillId="0" borderId="38" xfId="0" applyNumberFormat="1" applyFont="1" applyBorder="1" applyAlignment="1">
      <alignment horizontal="right" vertical="center"/>
    </xf>
    <xf numFmtId="3" fontId="14" fillId="0" borderId="39" xfId="0" applyNumberFormat="1" applyFont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0" fontId="9" fillId="0" borderId="42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49" xfId="0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19" fillId="0" borderId="34" xfId="0" applyFont="1" applyBorder="1" applyAlignment="1">
      <alignment horizontal="center" vertical="center" textRotation="90"/>
    </xf>
    <xf numFmtId="0" fontId="19" fillId="0" borderId="35" xfId="0" applyFont="1" applyBorder="1" applyAlignment="1">
      <alignment horizontal="center" vertical="center" textRotation="90"/>
    </xf>
    <xf numFmtId="0" fontId="19" fillId="0" borderId="30" xfId="0" applyFont="1" applyBorder="1" applyAlignment="1">
      <alignment horizontal="center" vertical="center" textRotation="90"/>
    </xf>
    <xf numFmtId="0" fontId="19" fillId="0" borderId="36" xfId="0" applyFont="1" applyBorder="1" applyAlignment="1">
      <alignment horizontal="center" vertical="center" textRotation="90"/>
    </xf>
    <xf numFmtId="0" fontId="23" fillId="0" borderId="0" xfId="0" applyFont="1" applyAlignment="1">
      <alignment horizontal="right"/>
    </xf>
    <xf numFmtId="0" fontId="18" fillId="0" borderId="34" xfId="0" applyFont="1" applyBorder="1" applyAlignment="1">
      <alignment horizontal="center" vertical="center" textRotation="90"/>
    </xf>
    <xf numFmtId="0" fontId="18" fillId="0" borderId="35" xfId="0" applyFont="1" applyBorder="1" applyAlignment="1">
      <alignment horizontal="center" vertical="center" textRotation="90"/>
    </xf>
    <xf numFmtId="0" fontId="18" fillId="0" borderId="36" xfId="0" applyFont="1" applyBorder="1" applyAlignment="1">
      <alignment horizontal="center" vertical="center" textRotation="90"/>
    </xf>
    <xf numFmtId="0" fontId="2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6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topLeftCell="A10" zoomScale="90" zoomScaleNormal="90" workbookViewId="0">
      <selection activeCell="F21" sqref="F21"/>
    </sheetView>
  </sheetViews>
  <sheetFormatPr defaultRowHeight="14.25"/>
  <cols>
    <col min="1" max="1" width="5.5" customWidth="1"/>
    <col min="2" max="2" width="50.25" customWidth="1"/>
    <col min="3" max="3" width="0" hidden="1" customWidth="1"/>
    <col min="4" max="5" width="12.375" hidden="1" customWidth="1"/>
    <col min="6" max="6" width="14.875" bestFit="1" customWidth="1"/>
    <col min="7" max="9" width="14.75" bestFit="1" customWidth="1"/>
    <col min="10" max="10" width="13" bestFit="1" customWidth="1"/>
    <col min="11" max="15" width="13.125" bestFit="1" customWidth="1"/>
    <col min="16" max="17" width="13.125" hidden="1" customWidth="1"/>
    <col min="18" max="18" width="12.5" hidden="1" customWidth="1"/>
  </cols>
  <sheetData>
    <row r="1" spans="1:18" ht="30.75" customHeight="1">
      <c r="H1" s="64"/>
      <c r="N1" s="157" t="s">
        <v>40</v>
      </c>
      <c r="O1" s="158"/>
    </row>
    <row r="2" spans="1:18" ht="18.75">
      <c r="A2" s="159" t="s">
        <v>105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8" ht="17.25" customHeight="1" thickBot="1">
      <c r="A3" s="63"/>
      <c r="B3" s="63"/>
      <c r="C3" s="63"/>
      <c r="O3" s="132" t="s">
        <v>109</v>
      </c>
    </row>
    <row r="4" spans="1:18" ht="65.25" customHeight="1" thickBot="1">
      <c r="A4" s="62" t="s">
        <v>39</v>
      </c>
      <c r="B4" s="61" t="s">
        <v>38</v>
      </c>
      <c r="C4" s="61" t="s">
        <v>37</v>
      </c>
      <c r="D4" s="59" t="s">
        <v>36</v>
      </c>
      <c r="E4" s="60" t="s">
        <v>35</v>
      </c>
      <c r="F4" s="59">
        <v>2011</v>
      </c>
      <c r="G4" s="59">
        <v>2012</v>
      </c>
      <c r="H4" s="59">
        <v>2013</v>
      </c>
      <c r="I4" s="59">
        <v>2014</v>
      </c>
      <c r="J4" s="59">
        <v>2015</v>
      </c>
      <c r="K4" s="59">
        <v>2016</v>
      </c>
      <c r="L4" s="59">
        <v>2017</v>
      </c>
      <c r="M4" s="59">
        <v>2018</v>
      </c>
      <c r="N4" s="59">
        <v>2019</v>
      </c>
      <c r="O4" s="58">
        <v>2020</v>
      </c>
      <c r="P4" s="105">
        <v>2021</v>
      </c>
      <c r="Q4" s="59">
        <v>2022</v>
      </c>
      <c r="R4" s="58">
        <v>2023</v>
      </c>
    </row>
    <row r="5" spans="1:18">
      <c r="A5" s="57" t="s">
        <v>34</v>
      </c>
      <c r="B5" s="56" t="s">
        <v>33</v>
      </c>
      <c r="C5" s="55">
        <f>SUM(D5:O5)</f>
        <v>7281680446</v>
      </c>
      <c r="D5" s="53"/>
      <c r="E5" s="54">
        <f t="shared" ref="E5:R5" si="0">SUM(E6,E21)</f>
        <v>739626738</v>
      </c>
      <c r="F5" s="54">
        <f t="shared" si="0"/>
        <v>817143089</v>
      </c>
      <c r="G5" s="53">
        <f t="shared" si="0"/>
        <v>683526220</v>
      </c>
      <c r="H5" s="53">
        <f t="shared" si="0"/>
        <v>631113008</v>
      </c>
      <c r="I5" s="53">
        <f t="shared" si="0"/>
        <v>615849879</v>
      </c>
      <c r="J5" s="53">
        <f t="shared" si="0"/>
        <v>615912287</v>
      </c>
      <c r="K5" s="53">
        <f t="shared" si="0"/>
        <v>622651851</v>
      </c>
      <c r="L5" s="53">
        <f t="shared" si="0"/>
        <v>630561832</v>
      </c>
      <c r="M5" s="53">
        <f t="shared" si="0"/>
        <v>636234505</v>
      </c>
      <c r="N5" s="53">
        <f t="shared" si="0"/>
        <v>641628258</v>
      </c>
      <c r="O5" s="52">
        <f t="shared" si="0"/>
        <v>647432779</v>
      </c>
      <c r="P5" s="106">
        <f t="shared" si="0"/>
        <v>651708200.69000006</v>
      </c>
      <c r="Q5" s="53">
        <f t="shared" si="0"/>
        <v>657844376.59689999</v>
      </c>
      <c r="R5" s="52">
        <f t="shared" si="0"/>
        <v>664041914.262869</v>
      </c>
    </row>
    <row r="6" spans="1:18">
      <c r="A6" s="51"/>
      <c r="B6" s="31" t="s">
        <v>32</v>
      </c>
      <c r="C6" s="20"/>
      <c r="D6" s="37"/>
      <c r="E6" s="38">
        <f t="shared" ref="E6:R6" si="1">SUM(E7,E10:E20)</f>
        <v>636564878</v>
      </c>
      <c r="F6" s="38">
        <f t="shared" si="1"/>
        <v>661785056</v>
      </c>
      <c r="G6" s="37">
        <f t="shared" si="1"/>
        <v>671236400</v>
      </c>
      <c r="H6" s="37">
        <f t="shared" si="1"/>
        <v>627366408</v>
      </c>
      <c r="I6" s="37">
        <f t="shared" si="1"/>
        <v>610228279</v>
      </c>
      <c r="J6" s="37">
        <f t="shared" si="1"/>
        <v>613690687</v>
      </c>
      <c r="K6" s="37">
        <f t="shared" si="1"/>
        <v>619205251</v>
      </c>
      <c r="L6" s="37">
        <f t="shared" si="1"/>
        <v>625015232</v>
      </c>
      <c r="M6" s="37">
        <f t="shared" si="1"/>
        <v>630687905</v>
      </c>
      <c r="N6" s="37">
        <f t="shared" si="1"/>
        <v>636231658</v>
      </c>
      <c r="O6" s="36">
        <f t="shared" si="1"/>
        <v>642036179</v>
      </c>
      <c r="P6" s="107">
        <f t="shared" si="1"/>
        <v>646311600.69000006</v>
      </c>
      <c r="Q6" s="37">
        <f t="shared" si="1"/>
        <v>652447776.59689999</v>
      </c>
      <c r="R6" s="36">
        <f t="shared" si="1"/>
        <v>658645314.262869</v>
      </c>
    </row>
    <row r="7" spans="1:18" ht="30">
      <c r="A7" s="50"/>
      <c r="B7" s="21" t="s">
        <v>31</v>
      </c>
      <c r="C7" s="49">
        <f t="shared" ref="C7:C16" si="2">SUM(D7:O7)</f>
        <v>6361759067</v>
      </c>
      <c r="D7" s="18"/>
      <c r="E7" s="19">
        <f t="shared" ref="E7:R7" si="3">SUM(E8:E9)</f>
        <v>550000000</v>
      </c>
      <c r="F7" s="19">
        <f t="shared" si="3"/>
        <v>555500000</v>
      </c>
      <c r="G7" s="18">
        <f t="shared" si="3"/>
        <v>561055000</v>
      </c>
      <c r="H7" s="18">
        <f t="shared" si="3"/>
        <v>566665550</v>
      </c>
      <c r="I7" s="18">
        <f t="shared" si="3"/>
        <v>572332205</v>
      </c>
      <c r="J7" s="18">
        <f t="shared" si="3"/>
        <v>578055528</v>
      </c>
      <c r="K7" s="18">
        <f t="shared" si="3"/>
        <v>583836083</v>
      </c>
      <c r="L7" s="18">
        <f t="shared" si="3"/>
        <v>589674444</v>
      </c>
      <c r="M7" s="18">
        <f t="shared" si="3"/>
        <v>595571188</v>
      </c>
      <c r="N7" s="18">
        <f t="shared" si="3"/>
        <v>601526900</v>
      </c>
      <c r="O7" s="17">
        <f t="shared" si="3"/>
        <v>607542169</v>
      </c>
      <c r="P7" s="108">
        <f t="shared" si="3"/>
        <v>613617590.69000006</v>
      </c>
      <c r="Q7" s="18">
        <f t="shared" si="3"/>
        <v>619753766.59689999</v>
      </c>
      <c r="R7" s="17">
        <f t="shared" si="3"/>
        <v>625951304.262869</v>
      </c>
    </row>
    <row r="8" spans="1:18" ht="15">
      <c r="A8" s="35"/>
      <c r="B8" s="46" t="s">
        <v>30</v>
      </c>
      <c r="C8" s="20">
        <f t="shared" si="2"/>
        <v>1272351815</v>
      </c>
      <c r="D8" s="44"/>
      <c r="E8" s="43">
        <v>110000000</v>
      </c>
      <c r="F8" s="43">
        <v>111100000</v>
      </c>
      <c r="G8" s="44">
        <v>112211000</v>
      </c>
      <c r="H8" s="44">
        <v>113333110</v>
      </c>
      <c r="I8" s="44">
        <v>114466441</v>
      </c>
      <c r="J8" s="44">
        <v>115611106</v>
      </c>
      <c r="K8" s="44">
        <v>116767217</v>
      </c>
      <c r="L8" s="44">
        <v>117934889</v>
      </c>
      <c r="M8" s="44">
        <v>119114238</v>
      </c>
      <c r="N8" s="44">
        <v>120305380</v>
      </c>
      <c r="O8" s="48">
        <v>121508434</v>
      </c>
      <c r="P8" s="109">
        <f t="shared" ref="P8:R9" si="4">O8*101%</f>
        <v>122723518.34</v>
      </c>
      <c r="Q8" s="44">
        <f t="shared" si="4"/>
        <v>123950753.52340001</v>
      </c>
      <c r="R8" s="48">
        <f t="shared" si="4"/>
        <v>125190261.05863401</v>
      </c>
    </row>
    <row r="9" spans="1:18" ht="15">
      <c r="A9" s="35"/>
      <c r="B9" s="42" t="s">
        <v>29</v>
      </c>
      <c r="C9" s="20">
        <f t="shared" si="2"/>
        <v>5089407252</v>
      </c>
      <c r="D9" s="40"/>
      <c r="E9" s="41">
        <v>440000000</v>
      </c>
      <c r="F9" s="41">
        <v>444400000</v>
      </c>
      <c r="G9" s="40">
        <v>448844000</v>
      </c>
      <c r="H9" s="40">
        <v>453332440</v>
      </c>
      <c r="I9" s="40">
        <v>457865764</v>
      </c>
      <c r="J9" s="40">
        <v>462444422</v>
      </c>
      <c r="K9" s="40">
        <v>467068866</v>
      </c>
      <c r="L9" s="40">
        <v>471739555</v>
      </c>
      <c r="M9" s="40">
        <v>476456950</v>
      </c>
      <c r="N9" s="40">
        <v>481221520</v>
      </c>
      <c r="O9" s="39">
        <v>486033735</v>
      </c>
      <c r="P9" s="110">
        <f t="shared" si="4"/>
        <v>490894072.35000002</v>
      </c>
      <c r="Q9" s="40">
        <f t="shared" si="4"/>
        <v>495803013.07350004</v>
      </c>
      <c r="R9" s="39">
        <f t="shared" si="4"/>
        <v>500761043.20423502</v>
      </c>
    </row>
    <row r="10" spans="1:18" ht="15">
      <c r="A10" s="35"/>
      <c r="B10" s="21" t="s">
        <v>100</v>
      </c>
      <c r="C10" s="20">
        <f t="shared" si="2"/>
        <v>368437325</v>
      </c>
      <c r="D10" s="18"/>
      <c r="E10" s="19">
        <v>56769386</v>
      </c>
      <c r="F10" s="19">
        <f>60182190+284+3281+5427+544531+20130+134373+25</f>
        <v>60890241</v>
      </c>
      <c r="G10" s="18">
        <v>39008269</v>
      </c>
      <c r="H10" s="18">
        <v>26719296</v>
      </c>
      <c r="I10" s="18">
        <v>26530999</v>
      </c>
      <c r="J10" s="18">
        <v>26477248</v>
      </c>
      <c r="K10" s="18">
        <v>26412257</v>
      </c>
      <c r="L10" s="18">
        <v>26483877</v>
      </c>
      <c r="M10" s="18">
        <v>26459806</v>
      </c>
      <c r="N10" s="18">
        <v>26347847</v>
      </c>
      <c r="O10" s="17">
        <v>26338099</v>
      </c>
      <c r="P10" s="108">
        <v>26338099</v>
      </c>
      <c r="Q10" s="18">
        <v>26338099</v>
      </c>
      <c r="R10" s="17">
        <v>26338099</v>
      </c>
    </row>
    <row r="11" spans="1:18" ht="30">
      <c r="A11" s="35"/>
      <c r="B11" s="46" t="s">
        <v>28</v>
      </c>
      <c r="C11" s="20">
        <f t="shared" si="2"/>
        <v>25000</v>
      </c>
      <c r="D11" s="44"/>
      <c r="E11" s="43">
        <v>5000</v>
      </c>
      <c r="F11" s="43">
        <v>5000</v>
      </c>
      <c r="G11" s="40">
        <v>5000</v>
      </c>
      <c r="H11" s="40">
        <v>2000</v>
      </c>
      <c r="I11" s="40">
        <v>2000</v>
      </c>
      <c r="J11" s="40">
        <v>2000</v>
      </c>
      <c r="K11" s="40">
        <v>1000</v>
      </c>
      <c r="L11" s="40">
        <v>1000</v>
      </c>
      <c r="M11" s="40">
        <v>1000</v>
      </c>
      <c r="N11" s="40">
        <v>1000</v>
      </c>
      <c r="O11" s="39">
        <v>0</v>
      </c>
      <c r="P11" s="110">
        <v>0</v>
      </c>
      <c r="Q11" s="40">
        <v>0</v>
      </c>
      <c r="R11" s="39">
        <v>0</v>
      </c>
    </row>
    <row r="12" spans="1:18" ht="15">
      <c r="A12" s="35"/>
      <c r="B12" s="21" t="s">
        <v>27</v>
      </c>
      <c r="C12" s="20">
        <f t="shared" si="2"/>
        <v>1650000</v>
      </c>
      <c r="D12" s="18"/>
      <c r="E12" s="19">
        <v>150000</v>
      </c>
      <c r="F12" s="19">
        <v>150000</v>
      </c>
      <c r="G12" s="18">
        <v>150000</v>
      </c>
      <c r="H12" s="18">
        <v>150000</v>
      </c>
      <c r="I12" s="18">
        <v>150000</v>
      </c>
      <c r="J12" s="18">
        <v>150000</v>
      </c>
      <c r="K12" s="18">
        <v>150000</v>
      </c>
      <c r="L12" s="18">
        <v>150000</v>
      </c>
      <c r="M12" s="18">
        <v>150000</v>
      </c>
      <c r="N12" s="18">
        <v>150000</v>
      </c>
      <c r="O12" s="17">
        <v>150000</v>
      </c>
      <c r="P12" s="108">
        <v>150000</v>
      </c>
      <c r="Q12" s="18">
        <v>150000</v>
      </c>
      <c r="R12" s="17">
        <v>150000</v>
      </c>
    </row>
    <row r="13" spans="1:18" ht="15">
      <c r="A13" s="35"/>
      <c r="B13" s="21" t="s">
        <v>26</v>
      </c>
      <c r="C13" s="20">
        <f t="shared" si="2"/>
        <v>96000</v>
      </c>
      <c r="D13" s="18"/>
      <c r="E13" s="19">
        <v>10000</v>
      </c>
      <c r="F13" s="19">
        <v>10000</v>
      </c>
      <c r="G13" s="18">
        <v>10000</v>
      </c>
      <c r="H13" s="18">
        <v>10000</v>
      </c>
      <c r="I13" s="18">
        <v>8000</v>
      </c>
      <c r="J13" s="18">
        <v>8000</v>
      </c>
      <c r="K13" s="18">
        <v>8000</v>
      </c>
      <c r="L13" s="18">
        <v>8000</v>
      </c>
      <c r="M13" s="18">
        <v>8000</v>
      </c>
      <c r="N13" s="18">
        <v>8000</v>
      </c>
      <c r="O13" s="17">
        <v>8000</v>
      </c>
      <c r="P13" s="108">
        <v>8000</v>
      </c>
      <c r="Q13" s="18">
        <v>8000</v>
      </c>
      <c r="R13" s="17">
        <v>8000</v>
      </c>
    </row>
    <row r="14" spans="1:18" ht="60">
      <c r="A14" s="35"/>
      <c r="B14" s="46" t="s">
        <v>25</v>
      </c>
      <c r="C14" s="20">
        <f t="shared" si="2"/>
        <v>139991</v>
      </c>
      <c r="D14" s="44"/>
      <c r="E14" s="43">
        <v>8263</v>
      </c>
      <c r="F14" s="43">
        <v>13684</v>
      </c>
      <c r="G14" s="18">
        <v>13116</v>
      </c>
      <c r="H14" s="18">
        <v>13116</v>
      </c>
      <c r="I14" s="18">
        <v>13116</v>
      </c>
      <c r="J14" s="18">
        <v>13116</v>
      </c>
      <c r="K14" s="18">
        <v>13116</v>
      </c>
      <c r="L14" s="18">
        <v>13116</v>
      </c>
      <c r="M14" s="18">
        <v>13116</v>
      </c>
      <c r="N14" s="18">
        <v>13116</v>
      </c>
      <c r="O14" s="17">
        <v>13116</v>
      </c>
      <c r="P14" s="108">
        <v>13116</v>
      </c>
      <c r="Q14" s="18">
        <v>13116</v>
      </c>
      <c r="R14" s="17">
        <v>13116</v>
      </c>
    </row>
    <row r="15" spans="1:18" ht="30">
      <c r="A15" s="35"/>
      <c r="B15" s="47" t="s">
        <v>24</v>
      </c>
      <c r="C15" s="20">
        <f t="shared" si="2"/>
        <v>44000000</v>
      </c>
      <c r="D15" s="44"/>
      <c r="E15" s="43">
        <v>4000000</v>
      </c>
      <c r="F15" s="43">
        <v>4000000</v>
      </c>
      <c r="G15" s="40">
        <v>4000000</v>
      </c>
      <c r="H15" s="40">
        <v>4000000</v>
      </c>
      <c r="I15" s="40">
        <v>4000000</v>
      </c>
      <c r="J15" s="40">
        <v>4000000</v>
      </c>
      <c r="K15" s="40">
        <v>4000000</v>
      </c>
      <c r="L15" s="40">
        <v>4000000</v>
      </c>
      <c r="M15" s="40">
        <v>4000000</v>
      </c>
      <c r="N15" s="40">
        <v>4000000</v>
      </c>
      <c r="O15" s="39">
        <v>4000000</v>
      </c>
      <c r="P15" s="110">
        <v>4000000</v>
      </c>
      <c r="Q15" s="40">
        <v>4000000</v>
      </c>
      <c r="R15" s="39">
        <v>4000000</v>
      </c>
    </row>
    <row r="16" spans="1:18" ht="30">
      <c r="A16" s="35"/>
      <c r="B16" s="46" t="s">
        <v>23</v>
      </c>
      <c r="C16" s="45">
        <f t="shared" si="2"/>
        <v>22000000</v>
      </c>
      <c r="D16" s="44"/>
      <c r="E16" s="43">
        <v>2000000</v>
      </c>
      <c r="F16" s="43">
        <v>2000000</v>
      </c>
      <c r="G16" s="40">
        <v>2000000</v>
      </c>
      <c r="H16" s="40">
        <v>2000000</v>
      </c>
      <c r="I16" s="40">
        <v>2000000</v>
      </c>
      <c r="J16" s="40">
        <v>2000000</v>
      </c>
      <c r="K16" s="40">
        <v>2000000</v>
      </c>
      <c r="L16" s="40">
        <v>2000000</v>
      </c>
      <c r="M16" s="40">
        <v>2000000</v>
      </c>
      <c r="N16" s="40">
        <v>2000000</v>
      </c>
      <c r="O16" s="39">
        <v>2000000</v>
      </c>
      <c r="P16" s="110">
        <v>2000000</v>
      </c>
      <c r="Q16" s="40">
        <v>2000000</v>
      </c>
      <c r="R16" s="39">
        <v>2000000</v>
      </c>
    </row>
    <row r="17" spans="1:18" ht="30">
      <c r="A17" s="35"/>
      <c r="B17" s="21" t="s">
        <v>22</v>
      </c>
      <c r="C17" s="20"/>
      <c r="D17" s="18"/>
      <c r="E17" s="19">
        <v>3169495</v>
      </c>
      <c r="F17" s="19">
        <v>5616081</v>
      </c>
      <c r="G17" s="18">
        <v>184795</v>
      </c>
      <c r="H17" s="18">
        <v>184795</v>
      </c>
      <c r="I17" s="18">
        <v>184795</v>
      </c>
      <c r="J17" s="18">
        <v>184795</v>
      </c>
      <c r="K17" s="18">
        <v>184795</v>
      </c>
      <c r="L17" s="18">
        <v>184795</v>
      </c>
      <c r="M17" s="18">
        <v>184795</v>
      </c>
      <c r="N17" s="18">
        <v>184795</v>
      </c>
      <c r="O17" s="17">
        <v>184795</v>
      </c>
      <c r="P17" s="108">
        <v>184795</v>
      </c>
      <c r="Q17" s="18">
        <v>184795</v>
      </c>
      <c r="R17" s="17">
        <v>184795</v>
      </c>
    </row>
    <row r="18" spans="1:18" ht="15">
      <c r="A18" s="35"/>
      <c r="B18" s="42" t="s">
        <v>21</v>
      </c>
      <c r="C18" s="20"/>
      <c r="D18" s="40"/>
      <c r="E18" s="41">
        <v>3950000</v>
      </c>
      <c r="F18" s="41">
        <v>3750000</v>
      </c>
      <c r="G18" s="40">
        <v>3500000</v>
      </c>
      <c r="H18" s="40">
        <v>3300000</v>
      </c>
      <c r="I18" s="40">
        <v>3000000</v>
      </c>
      <c r="J18" s="40">
        <v>2800000</v>
      </c>
      <c r="K18" s="40">
        <v>2600000</v>
      </c>
      <c r="L18" s="40">
        <v>2500000</v>
      </c>
      <c r="M18" s="40">
        <v>2300000</v>
      </c>
      <c r="N18" s="40">
        <v>2000000</v>
      </c>
      <c r="O18" s="39">
        <v>1800000</v>
      </c>
      <c r="P18" s="110">
        <v>0</v>
      </c>
      <c r="Q18" s="40">
        <v>0</v>
      </c>
      <c r="R18" s="39">
        <v>0</v>
      </c>
    </row>
    <row r="19" spans="1:18" ht="15">
      <c r="A19" s="35"/>
      <c r="B19" s="26" t="s">
        <v>119</v>
      </c>
      <c r="C19" s="25">
        <f t="shared" ref="C19:C39" si="5">SUM(D19:O19)</f>
        <v>130395368</v>
      </c>
      <c r="D19" s="23"/>
      <c r="E19" s="24">
        <v>15922772</v>
      </c>
      <c r="F19" s="24">
        <v>27854777</v>
      </c>
      <c r="G19" s="23">
        <v>60289004</v>
      </c>
      <c r="H19" s="23">
        <v>24321651</v>
      </c>
      <c r="I19" s="23">
        <v>2007164</v>
      </c>
      <c r="J19" s="23">
        <v>0</v>
      </c>
      <c r="K19" s="18">
        <v>0</v>
      </c>
      <c r="L19" s="18">
        <v>0</v>
      </c>
      <c r="M19" s="18">
        <v>0</v>
      </c>
      <c r="N19" s="18">
        <v>0</v>
      </c>
      <c r="O19" s="17">
        <v>0</v>
      </c>
      <c r="P19" s="108">
        <v>0</v>
      </c>
      <c r="Q19" s="18">
        <v>0</v>
      </c>
      <c r="R19" s="17">
        <v>0</v>
      </c>
    </row>
    <row r="20" spans="1:18" ht="15">
      <c r="A20" s="35"/>
      <c r="B20" s="26" t="s">
        <v>20</v>
      </c>
      <c r="C20" s="20">
        <f t="shared" si="5"/>
        <v>3596451</v>
      </c>
      <c r="D20" s="18"/>
      <c r="E20" s="19">
        <v>579962</v>
      </c>
      <c r="F20" s="19">
        <f>1928273+67000</f>
        <v>1995273</v>
      </c>
      <c r="G20" s="18">
        <v>1021216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7">
        <v>0</v>
      </c>
      <c r="P20" s="108">
        <v>0</v>
      </c>
      <c r="Q20" s="18">
        <v>0</v>
      </c>
      <c r="R20" s="17">
        <v>0</v>
      </c>
    </row>
    <row r="21" spans="1:18" ht="15" customHeight="1">
      <c r="A21" s="35"/>
      <c r="B21" s="31" t="s">
        <v>7</v>
      </c>
      <c r="C21" s="20">
        <f t="shared" si="5"/>
        <v>307632513</v>
      </c>
      <c r="D21" s="37"/>
      <c r="E21" s="38">
        <f t="shared" ref="E21" si="6">SUM(E22:E25)</f>
        <v>103061860</v>
      </c>
      <c r="F21" s="38">
        <f>SUM(F22,F24:F25)</f>
        <v>155358033</v>
      </c>
      <c r="G21" s="38">
        <f t="shared" ref="G21:O21" si="7">SUM(G22,G24:G25)</f>
        <v>12289820</v>
      </c>
      <c r="H21" s="38">
        <f t="shared" si="7"/>
        <v>3746600</v>
      </c>
      <c r="I21" s="38">
        <f t="shared" si="7"/>
        <v>5621600</v>
      </c>
      <c r="J21" s="38">
        <f t="shared" si="7"/>
        <v>2221600</v>
      </c>
      <c r="K21" s="38">
        <f t="shared" si="7"/>
        <v>3446600</v>
      </c>
      <c r="L21" s="38">
        <f t="shared" si="7"/>
        <v>5546600</v>
      </c>
      <c r="M21" s="38">
        <f t="shared" si="7"/>
        <v>5546600</v>
      </c>
      <c r="N21" s="38">
        <f t="shared" si="7"/>
        <v>5396600</v>
      </c>
      <c r="O21" s="130">
        <f t="shared" si="7"/>
        <v>5396600</v>
      </c>
      <c r="P21" s="129">
        <f t="shared" ref="P21" si="8">SUM(P22,P24:P25)</f>
        <v>5396600</v>
      </c>
      <c r="Q21" s="38">
        <f t="shared" ref="Q21" si="9">SUM(Q22,Q24:Q25)</f>
        <v>5396600</v>
      </c>
      <c r="R21" s="38">
        <f t="shared" ref="R21" si="10">SUM(R22,R24:R25)</f>
        <v>5396600</v>
      </c>
    </row>
    <row r="22" spans="1:18" ht="15">
      <c r="A22" s="35"/>
      <c r="B22" s="21" t="s">
        <v>106</v>
      </c>
      <c r="C22" s="20">
        <f t="shared" si="5"/>
        <v>55306662</v>
      </c>
      <c r="D22" s="18"/>
      <c r="E22" s="19">
        <v>5172400</v>
      </c>
      <c r="F22" s="19">
        <f>5243281+671581</f>
        <v>5914862</v>
      </c>
      <c r="G22" s="18">
        <v>7296600</v>
      </c>
      <c r="H22" s="18">
        <v>3746600</v>
      </c>
      <c r="I22" s="18">
        <v>5621600</v>
      </c>
      <c r="J22" s="18">
        <v>2221600</v>
      </c>
      <c r="K22" s="18">
        <v>3446600</v>
      </c>
      <c r="L22" s="18">
        <v>5546600</v>
      </c>
      <c r="M22" s="18">
        <v>5546600</v>
      </c>
      <c r="N22" s="18">
        <v>5396600</v>
      </c>
      <c r="O22" s="17">
        <v>5396600</v>
      </c>
      <c r="P22" s="108">
        <v>5396600</v>
      </c>
      <c r="Q22" s="18">
        <v>5396600</v>
      </c>
      <c r="R22" s="17">
        <v>5396600</v>
      </c>
    </row>
    <row r="23" spans="1:18" ht="15">
      <c r="A23" s="35"/>
      <c r="B23" s="21" t="s">
        <v>107</v>
      </c>
      <c r="C23" s="20"/>
      <c r="D23" s="18"/>
      <c r="E23" s="19"/>
      <c r="F23" s="19">
        <v>5097400</v>
      </c>
      <c r="G23" s="18">
        <v>7296600</v>
      </c>
      <c r="H23" s="18">
        <v>3746600</v>
      </c>
      <c r="I23" s="18">
        <v>5621600</v>
      </c>
      <c r="J23" s="18">
        <v>2221600</v>
      </c>
      <c r="K23" s="18">
        <v>3446600</v>
      </c>
      <c r="L23" s="18">
        <v>5546600</v>
      </c>
      <c r="M23" s="18">
        <v>5546600</v>
      </c>
      <c r="N23" s="18">
        <v>5396600</v>
      </c>
      <c r="O23" s="17">
        <v>5396600</v>
      </c>
      <c r="P23" s="108">
        <v>5396600</v>
      </c>
      <c r="Q23" s="18">
        <v>5396600</v>
      </c>
      <c r="R23" s="17">
        <v>5396600</v>
      </c>
    </row>
    <row r="24" spans="1:18" ht="15">
      <c r="A24" s="35"/>
      <c r="B24" s="26" t="s">
        <v>120</v>
      </c>
      <c r="C24" s="25">
        <f t="shared" si="5"/>
        <v>229046788</v>
      </c>
      <c r="D24" s="23"/>
      <c r="E24" s="24">
        <v>91449460</v>
      </c>
      <c r="F24" s="24">
        <v>133592342</v>
      </c>
      <c r="G24" s="23">
        <v>4004986</v>
      </c>
      <c r="H24" s="23">
        <v>0</v>
      </c>
      <c r="I24" s="23">
        <v>0</v>
      </c>
      <c r="J24" s="23">
        <v>0</v>
      </c>
      <c r="K24" s="18">
        <v>0</v>
      </c>
      <c r="L24" s="18">
        <v>0</v>
      </c>
      <c r="M24" s="18">
        <v>0</v>
      </c>
      <c r="N24" s="18">
        <v>0</v>
      </c>
      <c r="O24" s="17">
        <v>0</v>
      </c>
      <c r="P24" s="108">
        <v>0</v>
      </c>
      <c r="Q24" s="18">
        <v>0</v>
      </c>
      <c r="R24" s="17">
        <v>0</v>
      </c>
    </row>
    <row r="25" spans="1:18" ht="15">
      <c r="A25" s="33"/>
      <c r="B25" s="21" t="s">
        <v>19</v>
      </c>
      <c r="C25" s="20">
        <f t="shared" si="5"/>
        <v>23279063</v>
      </c>
      <c r="D25" s="18"/>
      <c r="E25" s="19">
        <v>6440000</v>
      </c>
      <c r="F25" s="19">
        <f>14442252+1408577</f>
        <v>15850829</v>
      </c>
      <c r="G25" s="18">
        <v>988234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7">
        <v>0</v>
      </c>
      <c r="P25" s="108">
        <v>0</v>
      </c>
      <c r="Q25" s="18">
        <v>0</v>
      </c>
      <c r="R25" s="17">
        <v>0</v>
      </c>
    </row>
    <row r="26" spans="1:18">
      <c r="A26" s="32" t="s">
        <v>18</v>
      </c>
      <c r="B26" s="31" t="s">
        <v>17</v>
      </c>
      <c r="C26" s="20">
        <f t="shared" si="5"/>
        <v>2250913199</v>
      </c>
      <c r="D26" s="29"/>
      <c r="E26" s="30">
        <f t="shared" ref="E26:R26" si="11">SUM(E27:E30)</f>
        <v>204139940</v>
      </c>
      <c r="F26" s="30">
        <f t="shared" si="11"/>
        <v>209513799</v>
      </c>
      <c r="G26" s="29">
        <f t="shared" si="11"/>
        <v>204139940</v>
      </c>
      <c r="H26" s="29">
        <f t="shared" si="11"/>
        <v>204139940</v>
      </c>
      <c r="I26" s="29">
        <f t="shared" si="11"/>
        <v>204139940</v>
      </c>
      <c r="J26" s="29">
        <f t="shared" si="11"/>
        <v>204139940</v>
      </c>
      <c r="K26" s="29">
        <f t="shared" si="11"/>
        <v>204139940</v>
      </c>
      <c r="L26" s="29">
        <f t="shared" si="11"/>
        <v>204139940</v>
      </c>
      <c r="M26" s="29">
        <f t="shared" si="11"/>
        <v>204139940</v>
      </c>
      <c r="N26" s="29">
        <f t="shared" si="11"/>
        <v>204139940</v>
      </c>
      <c r="O26" s="28">
        <f t="shared" si="11"/>
        <v>204139940</v>
      </c>
      <c r="P26" s="111">
        <f t="shared" si="11"/>
        <v>204139940</v>
      </c>
      <c r="Q26" s="29">
        <f t="shared" si="11"/>
        <v>204139940</v>
      </c>
      <c r="R26" s="28">
        <f t="shared" si="11"/>
        <v>204139940</v>
      </c>
    </row>
    <row r="27" spans="1:18" ht="15">
      <c r="A27" s="46"/>
      <c r="B27" s="154" t="s">
        <v>16</v>
      </c>
      <c r="C27" s="20">
        <f t="shared" si="5"/>
        <v>1262388633</v>
      </c>
      <c r="D27" s="18"/>
      <c r="E27" s="19">
        <v>114485434</v>
      </c>
      <c r="F27" s="19">
        <v>117534293</v>
      </c>
      <c r="G27" s="19">
        <v>114485434</v>
      </c>
      <c r="H27" s="19">
        <v>114485434</v>
      </c>
      <c r="I27" s="19">
        <v>114485434</v>
      </c>
      <c r="J27" s="19">
        <v>114485434</v>
      </c>
      <c r="K27" s="19">
        <v>114485434</v>
      </c>
      <c r="L27" s="19">
        <v>114485434</v>
      </c>
      <c r="M27" s="19">
        <v>114485434</v>
      </c>
      <c r="N27" s="19">
        <v>114485434</v>
      </c>
      <c r="O27" s="34">
        <v>114485434</v>
      </c>
      <c r="P27" s="112">
        <v>114485434</v>
      </c>
      <c r="Q27" s="19">
        <v>114485434</v>
      </c>
      <c r="R27" s="34">
        <v>114485434</v>
      </c>
    </row>
    <row r="28" spans="1:18" ht="15">
      <c r="A28" s="156"/>
      <c r="B28" s="154" t="s">
        <v>15</v>
      </c>
      <c r="C28" s="20">
        <f t="shared" si="5"/>
        <v>874023007</v>
      </c>
      <c r="D28" s="18"/>
      <c r="E28" s="19">
        <v>79456637</v>
      </c>
      <c r="F28" s="19">
        <v>79456637</v>
      </c>
      <c r="G28" s="19">
        <v>79456637</v>
      </c>
      <c r="H28" s="19">
        <v>79456637</v>
      </c>
      <c r="I28" s="19">
        <v>79456637</v>
      </c>
      <c r="J28" s="19">
        <v>79456637</v>
      </c>
      <c r="K28" s="19">
        <v>79456637</v>
      </c>
      <c r="L28" s="19">
        <v>79456637</v>
      </c>
      <c r="M28" s="19">
        <v>79456637</v>
      </c>
      <c r="N28" s="19">
        <v>79456637</v>
      </c>
      <c r="O28" s="34">
        <v>79456637</v>
      </c>
      <c r="P28" s="112">
        <v>79456637</v>
      </c>
      <c r="Q28" s="19">
        <v>79456637</v>
      </c>
      <c r="R28" s="34">
        <v>79456637</v>
      </c>
    </row>
    <row r="29" spans="1:18" ht="15">
      <c r="A29" s="156"/>
      <c r="B29" s="154" t="s">
        <v>14</v>
      </c>
      <c r="C29" s="20">
        <f t="shared" si="5"/>
        <v>112176559</v>
      </c>
      <c r="D29" s="18"/>
      <c r="E29" s="19">
        <v>10197869</v>
      </c>
      <c r="F29" s="19">
        <v>10197869</v>
      </c>
      <c r="G29" s="19">
        <v>10197869</v>
      </c>
      <c r="H29" s="19">
        <v>10197869</v>
      </c>
      <c r="I29" s="19">
        <v>10197869</v>
      </c>
      <c r="J29" s="19">
        <v>10197869</v>
      </c>
      <c r="K29" s="19">
        <v>10197869</v>
      </c>
      <c r="L29" s="19">
        <v>10197869</v>
      </c>
      <c r="M29" s="19">
        <v>10197869</v>
      </c>
      <c r="N29" s="19">
        <v>10197869</v>
      </c>
      <c r="O29" s="34">
        <v>10197869</v>
      </c>
      <c r="P29" s="112">
        <v>10197869</v>
      </c>
      <c r="Q29" s="19">
        <v>10197869</v>
      </c>
      <c r="R29" s="34">
        <v>10197869</v>
      </c>
    </row>
    <row r="30" spans="1:18" ht="15">
      <c r="A30" s="156"/>
      <c r="B30" s="154" t="s">
        <v>13</v>
      </c>
      <c r="C30" s="20">
        <f t="shared" si="5"/>
        <v>2325000</v>
      </c>
      <c r="D30" s="18"/>
      <c r="E30" s="19">
        <v>0</v>
      </c>
      <c r="F30" s="19">
        <v>2325000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7">
        <v>0</v>
      </c>
      <c r="P30" s="108">
        <v>0</v>
      </c>
      <c r="Q30" s="18">
        <v>0</v>
      </c>
      <c r="R30" s="17">
        <v>0</v>
      </c>
    </row>
    <row r="31" spans="1:18" ht="15">
      <c r="A31" s="42"/>
      <c r="B31" s="154" t="s">
        <v>7</v>
      </c>
      <c r="C31" s="20"/>
      <c r="D31" s="18"/>
      <c r="E31" s="19"/>
      <c r="F31" s="19">
        <v>2325000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7">
        <v>0</v>
      </c>
      <c r="P31" s="108"/>
      <c r="Q31" s="18"/>
      <c r="R31" s="17"/>
    </row>
    <row r="32" spans="1:18">
      <c r="A32" s="155" t="s">
        <v>12</v>
      </c>
      <c r="B32" s="31" t="s">
        <v>11</v>
      </c>
      <c r="C32" s="20">
        <f t="shared" si="5"/>
        <v>1850282431</v>
      </c>
      <c r="D32" s="29"/>
      <c r="E32" s="30">
        <f t="shared" ref="E32:R32" si="12">SUM(E33,E35,E37)</f>
        <v>283641812</v>
      </c>
      <c r="F32" s="30">
        <f t="shared" si="12"/>
        <v>231702006</v>
      </c>
      <c r="G32" s="29">
        <f t="shared" si="12"/>
        <v>282063370</v>
      </c>
      <c r="H32" s="29">
        <f t="shared" si="12"/>
        <v>617837794</v>
      </c>
      <c r="I32" s="29">
        <f t="shared" si="12"/>
        <v>374111023</v>
      </c>
      <c r="J32" s="29">
        <f t="shared" si="12"/>
        <v>40251301</v>
      </c>
      <c r="K32" s="29">
        <f t="shared" si="12"/>
        <v>4135025</v>
      </c>
      <c r="L32" s="29">
        <f t="shared" si="12"/>
        <v>4135025</v>
      </c>
      <c r="M32" s="29">
        <f t="shared" si="12"/>
        <v>4135025</v>
      </c>
      <c r="N32" s="29">
        <f t="shared" si="12"/>
        <v>4135025</v>
      </c>
      <c r="O32" s="28">
        <f t="shared" si="12"/>
        <v>4135025</v>
      </c>
      <c r="P32" s="111">
        <f t="shared" si="12"/>
        <v>4135025</v>
      </c>
      <c r="Q32" s="29">
        <f t="shared" si="12"/>
        <v>4135025</v>
      </c>
      <c r="R32" s="28">
        <f t="shared" si="12"/>
        <v>4135025</v>
      </c>
    </row>
    <row r="33" spans="1:18" ht="15">
      <c r="A33" s="27"/>
      <c r="B33" s="26" t="s">
        <v>10</v>
      </c>
      <c r="C33" s="25">
        <f t="shared" si="5"/>
        <v>20059494</v>
      </c>
      <c r="D33" s="23"/>
      <c r="E33" s="24">
        <v>9179750</v>
      </c>
      <c r="F33" s="24">
        <f>9777490+5220</f>
        <v>9782710</v>
      </c>
      <c r="G33" s="23">
        <v>337399</v>
      </c>
      <c r="H33" s="23">
        <v>349915</v>
      </c>
      <c r="I33" s="23">
        <v>302385</v>
      </c>
      <c r="J33" s="23">
        <v>107335</v>
      </c>
      <c r="K33" s="18">
        <v>0</v>
      </c>
      <c r="L33" s="18">
        <v>0</v>
      </c>
      <c r="M33" s="18">
        <v>0</v>
      </c>
      <c r="N33" s="18">
        <v>0</v>
      </c>
      <c r="O33" s="17">
        <v>0</v>
      </c>
      <c r="P33" s="108">
        <v>0</v>
      </c>
      <c r="Q33" s="18">
        <v>0</v>
      </c>
      <c r="R33" s="17">
        <v>0</v>
      </c>
    </row>
    <row r="34" spans="1:18" ht="15">
      <c r="A34" s="22"/>
      <c r="B34" s="26" t="s">
        <v>7</v>
      </c>
      <c r="C34" s="25">
        <f t="shared" si="5"/>
        <v>14587500</v>
      </c>
      <c r="D34" s="23"/>
      <c r="E34" s="24">
        <v>7293750</v>
      </c>
      <c r="F34" s="24">
        <v>7293750</v>
      </c>
      <c r="G34" s="23">
        <v>0</v>
      </c>
      <c r="H34" s="23">
        <v>0</v>
      </c>
      <c r="I34" s="23">
        <v>0</v>
      </c>
      <c r="J34" s="23">
        <v>0</v>
      </c>
      <c r="K34" s="18">
        <v>0</v>
      </c>
      <c r="L34" s="18">
        <v>0</v>
      </c>
      <c r="M34" s="18">
        <v>0</v>
      </c>
      <c r="N34" s="18">
        <v>0</v>
      </c>
      <c r="O34" s="17">
        <v>0</v>
      </c>
      <c r="P34" s="108">
        <v>0</v>
      </c>
      <c r="Q34" s="18">
        <v>0</v>
      </c>
      <c r="R34" s="17">
        <v>0</v>
      </c>
    </row>
    <row r="35" spans="1:18" ht="30">
      <c r="A35" s="22"/>
      <c r="B35" s="26" t="s">
        <v>9</v>
      </c>
      <c r="C35" s="25">
        <f t="shared" si="5"/>
        <v>716701262</v>
      </c>
      <c r="D35" s="23"/>
      <c r="E35" s="24">
        <v>181244073</v>
      </c>
      <c r="F35" s="24">
        <v>183449772</v>
      </c>
      <c r="G35" s="23">
        <v>141979946</v>
      </c>
      <c r="H35" s="23">
        <v>117678990</v>
      </c>
      <c r="I35" s="23">
        <v>56339540</v>
      </c>
      <c r="J35" s="23">
        <v>36008941</v>
      </c>
      <c r="K35" s="18">
        <v>0</v>
      </c>
      <c r="L35" s="18">
        <v>0</v>
      </c>
      <c r="M35" s="18">
        <v>0</v>
      </c>
      <c r="N35" s="18">
        <v>0</v>
      </c>
      <c r="O35" s="17">
        <v>0</v>
      </c>
      <c r="P35" s="108">
        <v>0</v>
      </c>
      <c r="Q35" s="18">
        <v>0</v>
      </c>
      <c r="R35" s="17">
        <v>0</v>
      </c>
    </row>
    <row r="36" spans="1:18" ht="15">
      <c r="A36" s="22"/>
      <c r="B36" s="26" t="s">
        <v>7</v>
      </c>
      <c r="C36" s="25">
        <f t="shared" si="5"/>
        <v>181346869</v>
      </c>
      <c r="D36" s="23"/>
      <c r="E36" s="24">
        <v>72969082</v>
      </c>
      <c r="F36" s="24">
        <v>72969682</v>
      </c>
      <c r="G36" s="23">
        <v>28620362</v>
      </c>
      <c r="H36" s="23">
        <v>5753811</v>
      </c>
      <c r="I36" s="23">
        <v>578775</v>
      </c>
      <c r="J36" s="23">
        <v>455157</v>
      </c>
      <c r="K36" s="18">
        <v>0</v>
      </c>
      <c r="L36" s="18">
        <v>0</v>
      </c>
      <c r="M36" s="18">
        <v>0</v>
      </c>
      <c r="N36" s="18">
        <v>0</v>
      </c>
      <c r="O36" s="17">
        <v>0</v>
      </c>
      <c r="P36" s="108">
        <v>0</v>
      </c>
      <c r="Q36" s="18">
        <v>0</v>
      </c>
      <c r="R36" s="17">
        <v>0</v>
      </c>
    </row>
    <row r="37" spans="1:18" ht="15">
      <c r="A37" s="22"/>
      <c r="B37" s="21" t="s">
        <v>8</v>
      </c>
      <c r="C37" s="20">
        <f t="shared" si="5"/>
        <v>1113521675</v>
      </c>
      <c r="D37" s="18"/>
      <c r="E37" s="19">
        <v>93217989</v>
      </c>
      <c r="F37" s="19">
        <f>37360316+20000+1000+561901+4000+516307+6000</f>
        <v>38469524</v>
      </c>
      <c r="G37" s="18">
        <v>139746025</v>
      </c>
      <c r="H37" s="18">
        <v>499808889</v>
      </c>
      <c r="I37" s="18">
        <v>317469098</v>
      </c>
      <c r="J37" s="18">
        <v>4135025</v>
      </c>
      <c r="K37" s="18">
        <v>4135025</v>
      </c>
      <c r="L37" s="18">
        <v>4135025</v>
      </c>
      <c r="M37" s="18">
        <v>4135025</v>
      </c>
      <c r="N37" s="18">
        <v>4135025</v>
      </c>
      <c r="O37" s="17">
        <v>4135025</v>
      </c>
      <c r="P37" s="108">
        <v>4135025</v>
      </c>
      <c r="Q37" s="18">
        <v>4135025</v>
      </c>
      <c r="R37" s="17">
        <v>4135025</v>
      </c>
    </row>
    <row r="38" spans="1:18" ht="15.75" thickBot="1">
      <c r="A38" s="16"/>
      <c r="B38" s="15" t="s">
        <v>7</v>
      </c>
      <c r="C38" s="14">
        <f t="shared" si="5"/>
        <v>1109780493</v>
      </c>
      <c r="D38" s="12"/>
      <c r="E38" s="13">
        <v>92500000</v>
      </c>
      <c r="F38" s="13">
        <f>36233348+561901+516307</f>
        <v>37311556</v>
      </c>
      <c r="G38" s="12">
        <v>138961000</v>
      </c>
      <c r="H38" s="12">
        <v>499673864</v>
      </c>
      <c r="I38" s="12">
        <v>317334073</v>
      </c>
      <c r="J38" s="12">
        <v>4000000</v>
      </c>
      <c r="K38" s="12">
        <v>4000000</v>
      </c>
      <c r="L38" s="12">
        <v>4000000</v>
      </c>
      <c r="M38" s="12">
        <v>4000000</v>
      </c>
      <c r="N38" s="12">
        <v>4000000</v>
      </c>
      <c r="O38" s="11">
        <v>4000000</v>
      </c>
      <c r="P38" s="113">
        <v>4000000</v>
      </c>
      <c r="Q38" s="12">
        <v>4000000</v>
      </c>
      <c r="R38" s="11">
        <v>4000000</v>
      </c>
    </row>
    <row r="39" spans="1:18" ht="19.5" thickBot="1">
      <c r="A39" s="160" t="s">
        <v>6</v>
      </c>
      <c r="B39" s="161"/>
      <c r="C39" s="10">
        <f t="shared" si="5"/>
        <v>11382876076</v>
      </c>
      <c r="D39" s="8"/>
      <c r="E39" s="9">
        <f t="shared" ref="E39:R39" si="13">SUM(E5,E26,E32)</f>
        <v>1227408490</v>
      </c>
      <c r="F39" s="9">
        <f t="shared" si="13"/>
        <v>1258358894</v>
      </c>
      <c r="G39" s="8">
        <f t="shared" si="13"/>
        <v>1169729530</v>
      </c>
      <c r="H39" s="8">
        <f t="shared" si="13"/>
        <v>1453090742</v>
      </c>
      <c r="I39" s="8">
        <f t="shared" si="13"/>
        <v>1194100842</v>
      </c>
      <c r="J39" s="8">
        <f t="shared" si="13"/>
        <v>860303528</v>
      </c>
      <c r="K39" s="8">
        <f t="shared" si="13"/>
        <v>830926816</v>
      </c>
      <c r="L39" s="8">
        <f t="shared" si="13"/>
        <v>838836797</v>
      </c>
      <c r="M39" s="8">
        <f t="shared" si="13"/>
        <v>844509470</v>
      </c>
      <c r="N39" s="8">
        <f t="shared" si="13"/>
        <v>849903223</v>
      </c>
      <c r="O39" s="7">
        <f t="shared" si="13"/>
        <v>855707744</v>
      </c>
      <c r="P39" s="114">
        <f t="shared" si="13"/>
        <v>859983165.69000006</v>
      </c>
      <c r="Q39" s="8">
        <f t="shared" si="13"/>
        <v>866119341.59689999</v>
      </c>
      <c r="R39" s="7">
        <f t="shared" si="13"/>
        <v>872316879.262869</v>
      </c>
    </row>
    <row r="41" spans="1:18">
      <c r="A41" s="6"/>
      <c r="B41" s="6"/>
    </row>
    <row r="42" spans="1:18" ht="15">
      <c r="A42" s="117"/>
      <c r="B42" s="118" t="s">
        <v>5</v>
      </c>
      <c r="C42" s="119">
        <v>62794482</v>
      </c>
      <c r="D42" s="119"/>
      <c r="E42" s="119"/>
      <c r="F42" s="119">
        <f t="shared" ref="F42:R42" si="14">SUM(F43:F44)</f>
        <v>105539301</v>
      </c>
      <c r="G42" s="119">
        <f t="shared" si="14"/>
        <v>76866357</v>
      </c>
      <c r="H42" s="119">
        <f t="shared" si="14"/>
        <v>76716300</v>
      </c>
      <c r="I42" s="119">
        <f t="shared" si="14"/>
        <v>76660000</v>
      </c>
      <c r="J42" s="119">
        <f t="shared" si="14"/>
        <v>76660000</v>
      </c>
      <c r="K42" s="119">
        <f t="shared" si="14"/>
        <v>76660000</v>
      </c>
      <c r="L42" s="119">
        <f t="shared" si="14"/>
        <v>76660000</v>
      </c>
      <c r="M42" s="119">
        <f t="shared" si="14"/>
        <v>76660000</v>
      </c>
      <c r="N42" s="119">
        <f t="shared" si="14"/>
        <v>76660000</v>
      </c>
      <c r="O42" s="119">
        <f t="shared" si="14"/>
        <v>76660000</v>
      </c>
      <c r="P42" s="5">
        <f t="shared" si="14"/>
        <v>76660000</v>
      </c>
      <c r="Q42" s="5">
        <f t="shared" si="14"/>
        <v>76660000</v>
      </c>
      <c r="R42" s="5">
        <f t="shared" si="14"/>
        <v>76660000</v>
      </c>
    </row>
    <row r="43" spans="1:18" ht="15">
      <c r="A43" s="117"/>
      <c r="B43" s="120" t="s">
        <v>4</v>
      </c>
      <c r="C43" s="119"/>
      <c r="D43" s="119"/>
      <c r="E43" s="119"/>
      <c r="F43" s="121">
        <f>60327301+18000</f>
        <v>60345301</v>
      </c>
      <c r="G43" s="121">
        <v>46717400</v>
      </c>
      <c r="H43" s="121">
        <v>46714300</v>
      </c>
      <c r="I43" s="121">
        <v>46658000</v>
      </c>
      <c r="J43" s="121">
        <v>46658000</v>
      </c>
      <c r="K43" s="121">
        <v>46658000</v>
      </c>
      <c r="L43" s="121">
        <v>46658000</v>
      </c>
      <c r="M43" s="121">
        <v>46658000</v>
      </c>
      <c r="N43" s="121">
        <v>46658000</v>
      </c>
      <c r="O43" s="121">
        <v>46658000</v>
      </c>
      <c r="P43" s="98">
        <v>46658000</v>
      </c>
      <c r="Q43" s="98">
        <v>46658000</v>
      </c>
      <c r="R43" s="98">
        <v>46658000</v>
      </c>
    </row>
    <row r="44" spans="1:18" ht="15">
      <c r="A44" s="117"/>
      <c r="B44" s="122" t="s">
        <v>3</v>
      </c>
      <c r="C44" s="119"/>
      <c r="D44" s="119"/>
      <c r="E44" s="119"/>
      <c r="F44" s="121">
        <v>45194000</v>
      </c>
      <c r="G44" s="121">
        <v>30148957</v>
      </c>
      <c r="H44" s="121">
        <v>30002000</v>
      </c>
      <c r="I44" s="121">
        <v>30002000</v>
      </c>
      <c r="J44" s="121">
        <v>30002000</v>
      </c>
      <c r="K44" s="121">
        <v>30002000</v>
      </c>
      <c r="L44" s="121">
        <v>30002000</v>
      </c>
      <c r="M44" s="121">
        <v>30002000</v>
      </c>
      <c r="N44" s="121">
        <v>30002000</v>
      </c>
      <c r="O44" s="121">
        <v>30002000</v>
      </c>
      <c r="P44" s="97">
        <v>30002000</v>
      </c>
      <c r="Q44" s="97">
        <v>30002000</v>
      </c>
      <c r="R44" s="97">
        <v>30002000</v>
      </c>
    </row>
    <row r="45" spans="1:18" ht="15">
      <c r="A45" s="117"/>
      <c r="B45" s="122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3"/>
      <c r="Q45" s="3"/>
      <c r="R45" s="3"/>
    </row>
    <row r="46" spans="1:18" ht="15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</row>
    <row r="47" spans="1:18" ht="15.75">
      <c r="A47" s="123"/>
      <c r="B47" s="124" t="s">
        <v>2</v>
      </c>
      <c r="C47" s="124"/>
      <c r="D47" s="125"/>
      <c r="E47" s="125"/>
      <c r="F47" s="126">
        <f t="shared" ref="F47:R47" si="15">SUM(F39,F42)</f>
        <v>1363898195</v>
      </c>
      <c r="G47" s="126">
        <f t="shared" si="15"/>
        <v>1246595887</v>
      </c>
      <c r="H47" s="126">
        <f t="shared" si="15"/>
        <v>1529807042</v>
      </c>
      <c r="I47" s="126">
        <f t="shared" si="15"/>
        <v>1270760842</v>
      </c>
      <c r="J47" s="126">
        <f t="shared" si="15"/>
        <v>936963528</v>
      </c>
      <c r="K47" s="126">
        <f t="shared" si="15"/>
        <v>907586816</v>
      </c>
      <c r="L47" s="126">
        <f t="shared" si="15"/>
        <v>915496797</v>
      </c>
      <c r="M47" s="126">
        <f t="shared" si="15"/>
        <v>921169470</v>
      </c>
      <c r="N47" s="126">
        <f t="shared" si="15"/>
        <v>926563223</v>
      </c>
      <c r="O47" s="126">
        <f t="shared" si="15"/>
        <v>932367744</v>
      </c>
      <c r="P47" s="2">
        <f t="shared" si="15"/>
        <v>936643165.69000006</v>
      </c>
      <c r="Q47" s="2">
        <f t="shared" si="15"/>
        <v>942779341.59689999</v>
      </c>
      <c r="R47" s="2">
        <f t="shared" si="15"/>
        <v>948976879.262869</v>
      </c>
    </row>
    <row r="48" spans="1:18" ht="15">
      <c r="A48" s="123"/>
      <c r="B48" s="127"/>
      <c r="C48" s="123"/>
      <c r="D48" s="123"/>
      <c r="E48" s="123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"/>
      <c r="Q48" s="1"/>
      <c r="R48" s="1"/>
    </row>
    <row r="49" spans="1:18" ht="15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</row>
    <row r="50" spans="1:18" ht="15">
      <c r="A50" s="123"/>
      <c r="B50" s="123" t="s">
        <v>1</v>
      </c>
      <c r="C50" s="123"/>
      <c r="D50" s="123"/>
      <c r="E50" s="123"/>
      <c r="F50" s="127">
        <f>F6+(F26-F31)+(F33-F34)+(F35-F36)+(F37-F38)+F43</f>
        <v>1043446174</v>
      </c>
      <c r="G50" s="127">
        <f t="shared" ref="G50:O50" si="16">G6+(G26-G31)+(G33-G34)+(G35-G36)+(G37-G38)+G43</f>
        <v>1036575748</v>
      </c>
      <c r="H50" s="127">
        <f t="shared" si="16"/>
        <v>990630767</v>
      </c>
      <c r="I50" s="127">
        <f t="shared" si="16"/>
        <v>917224394</v>
      </c>
      <c r="J50" s="127">
        <f t="shared" si="16"/>
        <v>900284771</v>
      </c>
      <c r="K50" s="127">
        <f t="shared" si="16"/>
        <v>870138216</v>
      </c>
      <c r="L50" s="127">
        <f t="shared" si="16"/>
        <v>875948197</v>
      </c>
      <c r="M50" s="127">
        <f t="shared" si="16"/>
        <v>881620870</v>
      </c>
      <c r="N50" s="127">
        <f t="shared" si="16"/>
        <v>887164623</v>
      </c>
      <c r="O50" s="127">
        <f t="shared" si="16"/>
        <v>892969144</v>
      </c>
      <c r="P50" s="1">
        <f t="shared" ref="P50:R50" si="17">P6+P26+(P33-P34)+(P35-P36)+(P37-P38)+P43</f>
        <v>897244565.69000006</v>
      </c>
      <c r="Q50" s="1">
        <f t="shared" si="17"/>
        <v>903380741.59689999</v>
      </c>
      <c r="R50" s="1">
        <f t="shared" si="17"/>
        <v>909578279.262869</v>
      </c>
    </row>
    <row r="51" spans="1:18" ht="15">
      <c r="A51" s="123"/>
      <c r="B51" s="123" t="s">
        <v>0</v>
      </c>
      <c r="C51" s="123"/>
      <c r="D51" s="123"/>
      <c r="E51" s="123"/>
      <c r="F51" s="127">
        <f>F21+F31+F34+F36+F38+F44</f>
        <v>320452021</v>
      </c>
      <c r="G51" s="127">
        <f t="shared" ref="G51:O51" si="18">G21+G31+G34+G36+G38+G44</f>
        <v>210020139</v>
      </c>
      <c r="H51" s="127">
        <f t="shared" si="18"/>
        <v>539176275</v>
      </c>
      <c r="I51" s="127">
        <f t="shared" si="18"/>
        <v>353536448</v>
      </c>
      <c r="J51" s="127">
        <f t="shared" si="18"/>
        <v>36678757</v>
      </c>
      <c r="K51" s="127">
        <f t="shared" si="18"/>
        <v>37448600</v>
      </c>
      <c r="L51" s="127">
        <f t="shared" si="18"/>
        <v>39548600</v>
      </c>
      <c r="M51" s="127">
        <f t="shared" si="18"/>
        <v>39548600</v>
      </c>
      <c r="N51" s="127">
        <f t="shared" si="18"/>
        <v>39398600</v>
      </c>
      <c r="O51" s="127">
        <f t="shared" si="18"/>
        <v>39398600</v>
      </c>
      <c r="P51" s="1">
        <f t="shared" ref="P51:R51" si="19">P21+P34+P36+P38+P44</f>
        <v>39398600</v>
      </c>
      <c r="Q51" s="1">
        <f t="shared" si="19"/>
        <v>39398600</v>
      </c>
      <c r="R51" s="1">
        <f t="shared" si="19"/>
        <v>39398600</v>
      </c>
    </row>
    <row r="52" spans="1:18" ht="15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</row>
    <row r="53" spans="1:18" ht="15.75">
      <c r="A53" s="123"/>
      <c r="B53" s="128" t="s">
        <v>102</v>
      </c>
      <c r="C53" s="123"/>
      <c r="D53" s="123"/>
      <c r="E53" s="123"/>
      <c r="F53" s="126">
        <f t="shared" ref="F53:R53" si="20">SUM(F50:F51)</f>
        <v>1363898195</v>
      </c>
      <c r="G53" s="126">
        <f t="shared" si="20"/>
        <v>1246595887</v>
      </c>
      <c r="H53" s="126">
        <f t="shared" si="20"/>
        <v>1529807042</v>
      </c>
      <c r="I53" s="126">
        <f t="shared" si="20"/>
        <v>1270760842</v>
      </c>
      <c r="J53" s="126">
        <f t="shared" si="20"/>
        <v>936963528</v>
      </c>
      <c r="K53" s="126">
        <f t="shared" si="20"/>
        <v>907586816</v>
      </c>
      <c r="L53" s="126">
        <f t="shared" si="20"/>
        <v>915496797</v>
      </c>
      <c r="M53" s="126">
        <f t="shared" si="20"/>
        <v>921169470</v>
      </c>
      <c r="N53" s="126">
        <f t="shared" si="20"/>
        <v>926563223</v>
      </c>
      <c r="O53" s="126">
        <f t="shared" si="20"/>
        <v>932367744</v>
      </c>
      <c r="P53" s="2">
        <f t="shared" si="20"/>
        <v>936643165.69000006</v>
      </c>
      <c r="Q53" s="2">
        <f t="shared" si="20"/>
        <v>942779341.59689999</v>
      </c>
      <c r="R53" s="2">
        <f t="shared" si="20"/>
        <v>948976879.262869</v>
      </c>
    </row>
    <row r="54" spans="1:18" ht="15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</row>
    <row r="55" spans="1:18" ht="15">
      <c r="A55" s="123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</row>
    <row r="56" spans="1:18" ht="15">
      <c r="A56" s="123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8" ht="15">
      <c r="A57" s="123"/>
      <c r="B57" s="123"/>
      <c r="C57" s="123"/>
      <c r="D57" s="123"/>
      <c r="E57" s="123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"/>
      <c r="Q57" s="1"/>
      <c r="R57" s="1"/>
    </row>
    <row r="58" spans="1:18" ht="15">
      <c r="A58" s="123"/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</sheetData>
  <mergeCells count="3">
    <mergeCell ref="N1:O1"/>
    <mergeCell ref="A2:O2"/>
    <mergeCell ref="A39:B39"/>
  </mergeCells>
  <pageMargins left="0.22" right="0.19685039370078741" top="0.27559055118110237" bottom="0.35433070866141736" header="0.19685039370078741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1"/>
  <sheetViews>
    <sheetView tabSelected="1" zoomScaleNormal="100" workbookViewId="0">
      <selection activeCell="C29" sqref="C29"/>
    </sheetView>
  </sheetViews>
  <sheetFormatPr defaultRowHeight="14.25"/>
  <cols>
    <col min="1" max="1" width="3.25" customWidth="1"/>
    <col min="2" max="2" width="57.25" customWidth="1"/>
    <col min="3" max="6" width="12.125" bestFit="1" customWidth="1"/>
    <col min="7" max="12" width="12.125" customWidth="1"/>
  </cols>
  <sheetData>
    <row r="1" spans="1:12" ht="16.5" customHeight="1">
      <c r="A1" s="93"/>
      <c r="B1" s="93"/>
      <c r="K1" s="166" t="s">
        <v>76</v>
      </c>
      <c r="L1" s="166"/>
    </row>
    <row r="2" spans="1:12" ht="16.5" customHeight="1">
      <c r="A2" s="171"/>
      <c r="B2" s="171"/>
    </row>
    <row r="3" spans="1:12" ht="15" customHeight="1">
      <c r="A3" s="172"/>
      <c r="B3" s="172"/>
    </row>
    <row r="4" spans="1:12" ht="24.75" customHeight="1">
      <c r="A4" s="170" t="s">
        <v>75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</row>
    <row r="5" spans="1:12" ht="15.75" customHeight="1" thickBot="1">
      <c r="L5" s="131" t="s">
        <v>109</v>
      </c>
    </row>
    <row r="6" spans="1:12" ht="30" customHeight="1" thickBot="1">
      <c r="A6" s="136" t="s">
        <v>99</v>
      </c>
      <c r="B6" s="92" t="s">
        <v>74</v>
      </c>
      <c r="C6" s="92">
        <v>2011</v>
      </c>
      <c r="D6" s="92">
        <v>2012</v>
      </c>
      <c r="E6" s="92">
        <v>2013</v>
      </c>
      <c r="F6" s="92">
        <v>2014</v>
      </c>
      <c r="G6" s="92">
        <v>2015</v>
      </c>
      <c r="H6" s="92">
        <v>2016</v>
      </c>
      <c r="I6" s="92">
        <v>2017</v>
      </c>
      <c r="J6" s="92">
        <v>2018</v>
      </c>
      <c r="K6" s="92">
        <v>2019</v>
      </c>
      <c r="L6" s="91">
        <v>2020</v>
      </c>
    </row>
    <row r="7" spans="1:12" ht="21" customHeight="1">
      <c r="A7" s="90">
        <v>1</v>
      </c>
      <c r="B7" s="89" t="s">
        <v>123</v>
      </c>
      <c r="C7" s="137">
        <f>SUM(C8:C9)</f>
        <v>1363898195</v>
      </c>
      <c r="D7" s="137">
        <f t="shared" ref="D7:L7" si="0">SUM(D8:D9)</f>
        <v>1246595887</v>
      </c>
      <c r="E7" s="137">
        <f t="shared" si="0"/>
        <v>1529807042</v>
      </c>
      <c r="F7" s="137">
        <f t="shared" si="0"/>
        <v>1270760842</v>
      </c>
      <c r="G7" s="137">
        <f t="shared" si="0"/>
        <v>936963528</v>
      </c>
      <c r="H7" s="137">
        <f t="shared" si="0"/>
        <v>907586816</v>
      </c>
      <c r="I7" s="137">
        <f t="shared" si="0"/>
        <v>915496797</v>
      </c>
      <c r="J7" s="137">
        <f t="shared" si="0"/>
        <v>921169470</v>
      </c>
      <c r="K7" s="137">
        <f t="shared" si="0"/>
        <v>926563223</v>
      </c>
      <c r="L7" s="137">
        <f t="shared" si="0"/>
        <v>932367744</v>
      </c>
    </row>
    <row r="8" spans="1:12" ht="21" customHeight="1">
      <c r="A8" s="81" t="s">
        <v>46</v>
      </c>
      <c r="B8" s="88" t="s">
        <v>73</v>
      </c>
      <c r="C8" s="138">
        <f>'Dochody wg źródeł'!F50</f>
        <v>1043446174</v>
      </c>
      <c r="D8" s="138">
        <f>'Dochody wg źródeł'!G50</f>
        <v>1036575748</v>
      </c>
      <c r="E8" s="138">
        <f>'Dochody wg źródeł'!H50</f>
        <v>990630767</v>
      </c>
      <c r="F8" s="138">
        <f>'Dochody wg źródeł'!I50</f>
        <v>917224394</v>
      </c>
      <c r="G8" s="138">
        <f>'Dochody wg źródeł'!J50</f>
        <v>900284771</v>
      </c>
      <c r="H8" s="138">
        <f>'Dochody wg źródeł'!K50</f>
        <v>870138216</v>
      </c>
      <c r="I8" s="138">
        <f>'Dochody wg źródeł'!L50</f>
        <v>875948197</v>
      </c>
      <c r="J8" s="138">
        <f>'Dochody wg źródeł'!M50</f>
        <v>881620870</v>
      </c>
      <c r="K8" s="138">
        <f>'Dochody wg źródeł'!N50</f>
        <v>887164623</v>
      </c>
      <c r="L8" s="138">
        <f>'Dochody wg źródeł'!O50</f>
        <v>892969144</v>
      </c>
    </row>
    <row r="9" spans="1:12" ht="21" customHeight="1">
      <c r="A9" s="81" t="s">
        <v>48</v>
      </c>
      <c r="B9" s="88" t="s">
        <v>72</v>
      </c>
      <c r="C9" s="138">
        <f>'Dochody wg źródeł'!F51</f>
        <v>320452021</v>
      </c>
      <c r="D9" s="138">
        <f>'Dochody wg źródeł'!G51</f>
        <v>210020139</v>
      </c>
      <c r="E9" s="138">
        <f>'Dochody wg źródeł'!H51</f>
        <v>539176275</v>
      </c>
      <c r="F9" s="138">
        <f>'Dochody wg źródeł'!I51</f>
        <v>353536448</v>
      </c>
      <c r="G9" s="138">
        <f>'Dochody wg źródeł'!J51</f>
        <v>36678757</v>
      </c>
      <c r="H9" s="138">
        <f>'Dochody wg źródeł'!K51</f>
        <v>37448600</v>
      </c>
      <c r="I9" s="138">
        <f>'Dochody wg źródeł'!L51</f>
        <v>39548600</v>
      </c>
      <c r="J9" s="138">
        <f>'Dochody wg źródeł'!M51</f>
        <v>39548600</v>
      </c>
      <c r="K9" s="138">
        <f>'Dochody wg źródeł'!N51</f>
        <v>39398600</v>
      </c>
      <c r="L9" s="138">
        <f>'Dochody wg źródeł'!O51</f>
        <v>39398600</v>
      </c>
    </row>
    <row r="10" spans="1:12" ht="21" customHeight="1">
      <c r="A10" s="81" t="s">
        <v>69</v>
      </c>
      <c r="B10" s="88" t="s">
        <v>77</v>
      </c>
      <c r="C10" s="138">
        <f>'Dochody wg źródeł'!F23</f>
        <v>5097400</v>
      </c>
      <c r="D10" s="138">
        <f>'Dochody wg źródeł'!G23</f>
        <v>7296600</v>
      </c>
      <c r="E10" s="138">
        <f>'Dochody wg źródeł'!H23</f>
        <v>3746600</v>
      </c>
      <c r="F10" s="138">
        <f>'Dochody wg źródeł'!I23</f>
        <v>5621600</v>
      </c>
      <c r="G10" s="138">
        <f>'Dochody wg źródeł'!J23</f>
        <v>2221600</v>
      </c>
      <c r="H10" s="138">
        <f>'Dochody wg źródeł'!K23</f>
        <v>3446600</v>
      </c>
      <c r="I10" s="138">
        <f>'Dochody wg źródeł'!L23</f>
        <v>5546600</v>
      </c>
      <c r="J10" s="138">
        <f>'Dochody wg źródeł'!M23</f>
        <v>5546600</v>
      </c>
      <c r="K10" s="138">
        <f>'Dochody wg źródeł'!N23</f>
        <v>5396600</v>
      </c>
      <c r="L10" s="138">
        <f>'Dochody wg źródeł'!O23</f>
        <v>5396600</v>
      </c>
    </row>
    <row r="11" spans="1:12" ht="33" customHeight="1">
      <c r="A11" s="70">
        <v>2</v>
      </c>
      <c r="B11" s="87" t="s">
        <v>101</v>
      </c>
      <c r="C11" s="138">
        <f>871554221-8000+45300+284+3281+20000+70000+10000+67000+5427+544531+20130+1000+18000-35000+134373+25-3709+2812022+4000-116000-62000-357000+5220+6000</f>
        <v>874739105</v>
      </c>
      <c r="D11" s="138">
        <v>607708858</v>
      </c>
      <c r="E11" s="138">
        <v>573245487</v>
      </c>
      <c r="F11" s="138">
        <v>554110825</v>
      </c>
      <c r="G11" s="138">
        <v>557651633</v>
      </c>
      <c r="H11" s="138">
        <v>567860360</v>
      </c>
      <c r="I11" s="138">
        <v>578652343</v>
      </c>
      <c r="J11" s="138">
        <v>589781357</v>
      </c>
      <c r="K11" s="138">
        <v>601133571</v>
      </c>
      <c r="L11" s="138">
        <v>609216283</v>
      </c>
    </row>
    <row r="12" spans="1:12" ht="21" customHeight="1">
      <c r="A12" s="81" t="s">
        <v>46</v>
      </c>
      <c r="B12" s="86" t="s">
        <v>71</v>
      </c>
      <c r="C12" s="139">
        <v>232844925</v>
      </c>
      <c r="D12" s="139">
        <v>232844925</v>
      </c>
      <c r="E12" s="139">
        <v>232844925</v>
      </c>
      <c r="F12" s="139">
        <v>232844925</v>
      </c>
      <c r="G12" s="139">
        <v>232844925</v>
      </c>
      <c r="H12" s="139">
        <v>232844925</v>
      </c>
      <c r="I12" s="139">
        <v>232844925</v>
      </c>
      <c r="J12" s="139">
        <v>232844925</v>
      </c>
      <c r="K12" s="139">
        <v>232844925</v>
      </c>
      <c r="L12" s="139">
        <v>232844925</v>
      </c>
    </row>
    <row r="13" spans="1:12" ht="21" customHeight="1">
      <c r="A13" s="81" t="s">
        <v>48</v>
      </c>
      <c r="B13" s="86" t="s">
        <v>70</v>
      </c>
      <c r="C13" s="139">
        <v>105626584</v>
      </c>
      <c r="D13" s="139">
        <v>103835080</v>
      </c>
      <c r="E13" s="139">
        <v>103835080</v>
      </c>
      <c r="F13" s="139">
        <v>103835080</v>
      </c>
      <c r="G13" s="139">
        <v>103835080</v>
      </c>
      <c r="H13" s="139">
        <v>103835080</v>
      </c>
      <c r="I13" s="139">
        <v>103835080</v>
      </c>
      <c r="J13" s="139">
        <v>103835080</v>
      </c>
      <c r="K13" s="139">
        <v>103835080</v>
      </c>
      <c r="L13" s="139">
        <v>103835080</v>
      </c>
    </row>
    <row r="14" spans="1:12" ht="21" customHeight="1">
      <c r="A14" s="81" t="s">
        <v>69</v>
      </c>
      <c r="B14" s="86" t="s">
        <v>68</v>
      </c>
      <c r="C14" s="139">
        <v>8100000</v>
      </c>
      <c r="D14" s="139">
        <v>8100000</v>
      </c>
      <c r="E14" s="139">
        <v>8100000</v>
      </c>
      <c r="F14" s="139">
        <v>8100000</v>
      </c>
      <c r="G14" s="139">
        <v>8100000</v>
      </c>
      <c r="H14" s="139">
        <v>8100000</v>
      </c>
      <c r="I14" s="139">
        <v>8100000</v>
      </c>
      <c r="J14" s="139">
        <v>8100000</v>
      </c>
      <c r="K14" s="139">
        <v>8100000</v>
      </c>
      <c r="L14" s="139">
        <v>8100000</v>
      </c>
    </row>
    <row r="15" spans="1:12" ht="33" customHeight="1">
      <c r="A15" s="81" t="s">
        <v>67</v>
      </c>
      <c r="B15" s="86" t="s">
        <v>111</v>
      </c>
      <c r="C15" s="139">
        <v>0</v>
      </c>
      <c r="D15" s="139">
        <v>0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</row>
    <row r="16" spans="1:12" ht="21" customHeight="1">
      <c r="A16" s="81" t="s">
        <v>66</v>
      </c>
      <c r="B16" s="86" t="s">
        <v>65</v>
      </c>
      <c r="C16" s="139">
        <f>588100-62000-33500</f>
        <v>492600</v>
      </c>
      <c r="D16" s="139">
        <v>4798000</v>
      </c>
      <c r="E16" s="139">
        <v>4798000</v>
      </c>
      <c r="F16" s="139">
        <v>4798000</v>
      </c>
      <c r="G16" s="139">
        <v>4798000</v>
      </c>
      <c r="H16" s="139">
        <v>4798000</v>
      </c>
      <c r="I16" s="139">
        <v>4798000</v>
      </c>
      <c r="J16" s="139">
        <v>4798000</v>
      </c>
      <c r="K16" s="139">
        <v>4798000</v>
      </c>
      <c r="L16" s="139">
        <v>4798000</v>
      </c>
    </row>
    <row r="17" spans="1:12" ht="21" customHeight="1">
      <c r="A17" s="81" t="s">
        <v>64</v>
      </c>
      <c r="B17" s="86" t="s">
        <v>63</v>
      </c>
      <c r="C17" s="139">
        <f>2702000-1553885</f>
        <v>1148115</v>
      </c>
      <c r="D17" s="139">
        <v>2702000</v>
      </c>
      <c r="E17" s="139">
        <v>2702000</v>
      </c>
      <c r="F17" s="139">
        <v>2702000</v>
      </c>
      <c r="G17" s="139">
        <v>2702000</v>
      </c>
      <c r="H17" s="139">
        <v>2702000</v>
      </c>
      <c r="I17" s="139">
        <v>2702000</v>
      </c>
      <c r="J17" s="139">
        <v>2702000</v>
      </c>
      <c r="K17" s="139">
        <v>2702000</v>
      </c>
      <c r="L17" s="139">
        <v>2702000</v>
      </c>
    </row>
    <row r="18" spans="1:12" ht="21" customHeight="1">
      <c r="A18" s="81" t="s">
        <v>62</v>
      </c>
      <c r="B18" s="86" t="s">
        <v>61</v>
      </c>
      <c r="C18" s="138">
        <v>264614673</v>
      </c>
      <c r="D18" s="138">
        <v>281352760</v>
      </c>
      <c r="E18" s="138">
        <v>83771612</v>
      </c>
      <c r="F18" s="138">
        <v>45993808</v>
      </c>
      <c r="G18" s="138">
        <v>13353419</v>
      </c>
      <c r="H18" s="138">
        <v>13325894</v>
      </c>
      <c r="I18" s="138">
        <v>11735070</v>
      </c>
      <c r="J18" s="138">
        <v>11338115</v>
      </c>
      <c r="K18" s="138">
        <v>11248169</v>
      </c>
      <c r="L18" s="138">
        <v>11293286</v>
      </c>
    </row>
    <row r="19" spans="1:12" ht="33" customHeight="1">
      <c r="A19" s="70">
        <v>3</v>
      </c>
      <c r="B19" s="87" t="s">
        <v>60</v>
      </c>
      <c r="C19" s="138">
        <f>C7-C11</f>
        <v>489159090</v>
      </c>
      <c r="D19" s="138">
        <f t="shared" ref="D19:L19" si="1">D7-D11</f>
        <v>638887029</v>
      </c>
      <c r="E19" s="138">
        <f t="shared" si="1"/>
        <v>956561555</v>
      </c>
      <c r="F19" s="138">
        <f t="shared" si="1"/>
        <v>716650017</v>
      </c>
      <c r="G19" s="138">
        <f t="shared" si="1"/>
        <v>379311895</v>
      </c>
      <c r="H19" s="138">
        <f t="shared" si="1"/>
        <v>339726456</v>
      </c>
      <c r="I19" s="138">
        <f t="shared" si="1"/>
        <v>336844454</v>
      </c>
      <c r="J19" s="138">
        <f t="shared" si="1"/>
        <v>331388113</v>
      </c>
      <c r="K19" s="138">
        <f t="shared" si="1"/>
        <v>325429652</v>
      </c>
      <c r="L19" s="138">
        <f t="shared" si="1"/>
        <v>323151461</v>
      </c>
    </row>
    <row r="20" spans="1:12" ht="33" customHeight="1">
      <c r="A20" s="70">
        <v>4</v>
      </c>
      <c r="B20" s="87" t="s">
        <v>121</v>
      </c>
      <c r="C20" s="138">
        <v>79310061</v>
      </c>
      <c r="D20" s="138">
        <v>2214074</v>
      </c>
      <c r="E20" s="138">
        <v>0</v>
      </c>
      <c r="F20" s="138">
        <v>0</v>
      </c>
      <c r="G20" s="138">
        <v>0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</row>
    <row r="21" spans="1:12" ht="33" customHeight="1">
      <c r="A21" s="81" t="s">
        <v>46</v>
      </c>
      <c r="B21" s="86" t="s">
        <v>122</v>
      </c>
      <c r="C21" s="138">
        <v>79310061</v>
      </c>
      <c r="D21" s="138">
        <v>2214074</v>
      </c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</row>
    <row r="22" spans="1:12" ht="21" customHeight="1">
      <c r="A22" s="70">
        <v>5</v>
      </c>
      <c r="B22" s="84" t="s">
        <v>59</v>
      </c>
      <c r="C22" s="138">
        <v>17990444</v>
      </c>
      <c r="D22" s="138">
        <v>8045290</v>
      </c>
      <c r="E22" s="138">
        <v>6614621</v>
      </c>
      <c r="F22" s="138">
        <v>416664</v>
      </c>
      <c r="G22" s="138">
        <v>0</v>
      </c>
      <c r="H22" s="138">
        <v>0</v>
      </c>
      <c r="I22" s="138">
        <v>0</v>
      </c>
      <c r="J22" s="138">
        <v>0</v>
      </c>
      <c r="K22" s="138">
        <v>0</v>
      </c>
      <c r="L22" s="138">
        <v>0</v>
      </c>
    </row>
    <row r="23" spans="1:12" ht="21" customHeight="1">
      <c r="A23" s="70">
        <v>6</v>
      </c>
      <c r="B23" s="84" t="s">
        <v>58</v>
      </c>
      <c r="C23" s="138">
        <f>C19+C20+C22</f>
        <v>586459595</v>
      </c>
      <c r="D23" s="138">
        <f t="shared" ref="D23:L23" si="2">D19+D20+D22</f>
        <v>649146393</v>
      </c>
      <c r="E23" s="138">
        <f t="shared" si="2"/>
        <v>963176176</v>
      </c>
      <c r="F23" s="138">
        <f t="shared" si="2"/>
        <v>717066681</v>
      </c>
      <c r="G23" s="138">
        <f t="shared" si="2"/>
        <v>379311895</v>
      </c>
      <c r="H23" s="138">
        <f t="shared" si="2"/>
        <v>339726456</v>
      </c>
      <c r="I23" s="138">
        <f t="shared" si="2"/>
        <v>336844454</v>
      </c>
      <c r="J23" s="138">
        <f t="shared" si="2"/>
        <v>331388113</v>
      </c>
      <c r="K23" s="138">
        <f t="shared" si="2"/>
        <v>325429652</v>
      </c>
      <c r="L23" s="138">
        <f t="shared" si="2"/>
        <v>323151461</v>
      </c>
    </row>
    <row r="24" spans="1:12" ht="21" customHeight="1">
      <c r="A24" s="70">
        <v>7</v>
      </c>
      <c r="B24" s="84" t="s">
        <v>57</v>
      </c>
      <c r="C24" s="138">
        <f>SUM(C25:C26)</f>
        <v>36605002</v>
      </c>
      <c r="D24" s="138">
        <f t="shared" ref="D24:L24" si="3">SUM(D25:D26)</f>
        <v>92562130</v>
      </c>
      <c r="E24" s="138">
        <f t="shared" si="3"/>
        <v>92909746</v>
      </c>
      <c r="F24" s="138">
        <f t="shared" si="3"/>
        <v>97824731</v>
      </c>
      <c r="G24" s="138">
        <f t="shared" si="3"/>
        <v>91610834</v>
      </c>
      <c r="H24" s="138">
        <f t="shared" si="3"/>
        <v>88643757</v>
      </c>
      <c r="I24" s="138">
        <f t="shared" si="3"/>
        <v>85161558</v>
      </c>
      <c r="J24" s="138">
        <f t="shared" si="3"/>
        <v>81209371</v>
      </c>
      <c r="K24" s="138">
        <f t="shared" si="3"/>
        <v>77236353</v>
      </c>
      <c r="L24" s="138">
        <f t="shared" si="3"/>
        <v>76846187</v>
      </c>
    </row>
    <row r="25" spans="1:12" ht="33" customHeight="1">
      <c r="A25" s="81" t="s">
        <v>46</v>
      </c>
      <c r="B25" s="80" t="s">
        <v>56</v>
      </c>
      <c r="C25" s="138">
        <v>22196186</v>
      </c>
      <c r="D25" s="138">
        <v>61766364</v>
      </c>
      <c r="E25" s="138">
        <v>67246170</v>
      </c>
      <c r="F25" s="138">
        <v>74110112</v>
      </c>
      <c r="G25" s="138">
        <v>71451736</v>
      </c>
      <c r="H25" s="138">
        <v>71451736</v>
      </c>
      <c r="I25" s="138">
        <v>71451736</v>
      </c>
      <c r="J25" s="138">
        <v>71451736</v>
      </c>
      <c r="K25" s="138">
        <v>71451736</v>
      </c>
      <c r="L25" s="138">
        <v>71451800</v>
      </c>
    </row>
    <row r="26" spans="1:12" ht="21" customHeight="1">
      <c r="A26" s="81" t="s">
        <v>48</v>
      </c>
      <c r="B26" s="85" t="s">
        <v>55</v>
      </c>
      <c r="C26" s="138">
        <v>14408816</v>
      </c>
      <c r="D26" s="138">
        <v>30795766</v>
      </c>
      <c r="E26" s="138">
        <v>25663576</v>
      </c>
      <c r="F26" s="138">
        <v>23714619</v>
      </c>
      <c r="G26" s="138">
        <v>20159098</v>
      </c>
      <c r="H26" s="138">
        <v>17192021</v>
      </c>
      <c r="I26" s="138">
        <v>13709822</v>
      </c>
      <c r="J26" s="138">
        <v>9757635</v>
      </c>
      <c r="K26" s="138">
        <v>5784617</v>
      </c>
      <c r="L26" s="140">
        <v>5394387</v>
      </c>
    </row>
    <row r="27" spans="1:12" ht="21" customHeight="1">
      <c r="A27" s="70">
        <v>8</v>
      </c>
      <c r="B27" s="69" t="s">
        <v>54</v>
      </c>
      <c r="C27" s="138">
        <v>2000000</v>
      </c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</row>
    <row r="28" spans="1:12" ht="21" customHeight="1">
      <c r="A28" s="70">
        <v>9</v>
      </c>
      <c r="B28" s="84" t="s">
        <v>53</v>
      </c>
      <c r="C28" s="138">
        <f>C23-C24-C27</f>
        <v>547854593</v>
      </c>
      <c r="D28" s="138">
        <f t="shared" ref="D28:L28" si="4">D23-D24-D27</f>
        <v>556584263</v>
      </c>
      <c r="E28" s="138">
        <f t="shared" si="4"/>
        <v>870266430</v>
      </c>
      <c r="F28" s="138">
        <f t="shared" si="4"/>
        <v>619241950</v>
      </c>
      <c r="G28" s="138">
        <f t="shared" si="4"/>
        <v>287701061</v>
      </c>
      <c r="H28" s="138">
        <f t="shared" si="4"/>
        <v>251082699</v>
      </c>
      <c r="I28" s="138">
        <f t="shared" si="4"/>
        <v>251682896</v>
      </c>
      <c r="J28" s="138">
        <f t="shared" si="4"/>
        <v>250178742</v>
      </c>
      <c r="K28" s="138">
        <f t="shared" si="4"/>
        <v>248193299</v>
      </c>
      <c r="L28" s="138">
        <f t="shared" si="4"/>
        <v>246305274</v>
      </c>
    </row>
    <row r="29" spans="1:12" ht="21" customHeight="1">
      <c r="A29" s="70">
        <v>10</v>
      </c>
      <c r="B29" s="84" t="s">
        <v>52</v>
      </c>
      <c r="C29" s="138">
        <f>903351929+8000-45300-70000-10000+1408577+35000+671581+561901+3709-2812022+116000+62000+357000+516307</f>
        <v>904154682</v>
      </c>
      <c r="D29" s="138">
        <v>600422669</v>
      </c>
      <c r="E29" s="138">
        <v>918315210</v>
      </c>
      <c r="F29" s="138">
        <v>651290730</v>
      </c>
      <c r="G29" s="138">
        <v>287701061</v>
      </c>
      <c r="H29" s="138">
        <v>251082699</v>
      </c>
      <c r="I29" s="138">
        <v>251682896</v>
      </c>
      <c r="J29" s="138">
        <v>250178742</v>
      </c>
      <c r="K29" s="138">
        <v>248193299</v>
      </c>
      <c r="L29" s="140">
        <v>246305274</v>
      </c>
    </row>
    <row r="30" spans="1:12" ht="21" customHeight="1">
      <c r="A30" s="81" t="s">
        <v>46</v>
      </c>
      <c r="B30" s="85" t="s">
        <v>110</v>
      </c>
      <c r="C30" s="138">
        <v>455106952</v>
      </c>
      <c r="D30" s="138">
        <v>565610376</v>
      </c>
      <c r="E30" s="138">
        <v>828428031</v>
      </c>
      <c r="F30" s="138">
        <v>404042152</v>
      </c>
      <c r="G30" s="138">
        <v>87593118</v>
      </c>
      <c r="H30" s="138">
        <v>7274064</v>
      </c>
      <c r="I30" s="138">
        <v>0</v>
      </c>
      <c r="J30" s="138">
        <v>0</v>
      </c>
      <c r="K30" s="138">
        <v>0</v>
      </c>
      <c r="L30" s="138">
        <v>0</v>
      </c>
    </row>
    <row r="31" spans="1:12" ht="21" customHeight="1">
      <c r="A31" s="70">
        <v>11</v>
      </c>
      <c r="B31" s="84" t="s">
        <v>51</v>
      </c>
      <c r="C31" s="138">
        <v>356300089</v>
      </c>
      <c r="D31" s="138">
        <v>43838406</v>
      </c>
      <c r="E31" s="138">
        <v>48048780</v>
      </c>
      <c r="F31" s="138">
        <v>32048780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</row>
    <row r="32" spans="1:12" ht="21" customHeight="1" thickBot="1">
      <c r="A32" s="68">
        <v>12</v>
      </c>
      <c r="B32" s="83" t="s">
        <v>50</v>
      </c>
      <c r="C32" s="141">
        <f>C28-C29+C31</f>
        <v>0</v>
      </c>
      <c r="D32" s="141">
        <f t="shared" ref="D32:L32" si="5">D28-D29+D31</f>
        <v>0</v>
      </c>
      <c r="E32" s="141">
        <f t="shared" si="5"/>
        <v>0</v>
      </c>
      <c r="F32" s="141">
        <f t="shared" si="5"/>
        <v>0</v>
      </c>
      <c r="G32" s="141">
        <f t="shared" si="5"/>
        <v>0</v>
      </c>
      <c r="H32" s="141">
        <f t="shared" si="5"/>
        <v>0</v>
      </c>
      <c r="I32" s="141">
        <f t="shared" si="5"/>
        <v>0</v>
      </c>
      <c r="J32" s="141">
        <f t="shared" si="5"/>
        <v>0</v>
      </c>
      <c r="K32" s="141">
        <f t="shared" si="5"/>
        <v>0</v>
      </c>
      <c r="L32" s="141">
        <f t="shared" si="5"/>
        <v>0</v>
      </c>
    </row>
    <row r="33" spans="1:13" ht="27" customHeight="1">
      <c r="A33" s="72">
        <v>13</v>
      </c>
      <c r="B33" s="82" t="s">
        <v>49</v>
      </c>
      <c r="C33" s="142">
        <v>507897160</v>
      </c>
      <c r="D33" s="142">
        <v>489969202</v>
      </c>
      <c r="E33" s="142">
        <v>470771812</v>
      </c>
      <c r="F33" s="142">
        <v>428710480</v>
      </c>
      <c r="G33" s="142">
        <v>357258744</v>
      </c>
      <c r="H33" s="142">
        <v>285807008</v>
      </c>
      <c r="I33" s="142">
        <v>214355272</v>
      </c>
      <c r="J33" s="142">
        <v>142903536</v>
      </c>
      <c r="K33" s="142">
        <v>71451800</v>
      </c>
      <c r="L33" s="143">
        <v>0</v>
      </c>
    </row>
    <row r="34" spans="1:13" ht="33" customHeight="1">
      <c r="A34" s="81" t="s">
        <v>46</v>
      </c>
      <c r="B34" s="80" t="s">
        <v>112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</row>
    <row r="35" spans="1:13" ht="33" customHeight="1">
      <c r="A35" s="81" t="s">
        <v>48</v>
      </c>
      <c r="B35" s="80" t="s">
        <v>113</v>
      </c>
      <c r="C35" s="138">
        <v>0</v>
      </c>
      <c r="D35" s="138">
        <v>0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</row>
    <row r="36" spans="1:13" ht="42" customHeight="1">
      <c r="A36" s="70">
        <v>14</v>
      </c>
      <c r="B36" s="69" t="s">
        <v>114</v>
      </c>
      <c r="C36" s="138">
        <v>0</v>
      </c>
      <c r="D36" s="138">
        <v>0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</row>
    <row r="37" spans="1:13" ht="21" customHeight="1">
      <c r="A37" s="70">
        <v>15</v>
      </c>
      <c r="B37" s="69" t="s">
        <v>47</v>
      </c>
      <c r="C37" s="79">
        <f>(C14+C25+C26+C27)/C7</f>
        <v>3.4243759667120906E-2</v>
      </c>
      <c r="D37" s="79">
        <f t="shared" ref="D37:L37" si="6">(D14+D25+D26+D27)/D7</f>
        <v>8.0749608633996717E-2</v>
      </c>
      <c r="E37" s="79">
        <f t="shared" si="6"/>
        <v>6.6027769010622711E-2</v>
      </c>
      <c r="F37" s="79">
        <f t="shared" si="6"/>
        <v>8.3355362786666665E-2</v>
      </c>
      <c r="G37" s="79">
        <f t="shared" si="6"/>
        <v>0.10641911986994652</v>
      </c>
      <c r="H37" s="79">
        <f t="shared" si="6"/>
        <v>0.10659449354539764</v>
      </c>
      <c r="I37" s="79">
        <f t="shared" si="6"/>
        <v>0.10186988999372763</v>
      </c>
      <c r="J37" s="79">
        <f t="shared" si="6"/>
        <v>9.6952161256494959E-2</v>
      </c>
      <c r="K37" s="79">
        <f t="shared" si="6"/>
        <v>9.2099870663655728E-2</v>
      </c>
      <c r="L37" s="79">
        <f t="shared" si="6"/>
        <v>9.1108028507687205E-2</v>
      </c>
    </row>
    <row r="38" spans="1:13" ht="21" customHeight="1">
      <c r="A38" s="81" t="s">
        <v>46</v>
      </c>
      <c r="B38" s="80" t="s">
        <v>115</v>
      </c>
      <c r="C38" s="79">
        <f>('wielkości początkowe'!D12+'wielkości początkowe'!E12+'wielkości początkowe'!F12)/3</f>
        <v>0.14717025849947621</v>
      </c>
      <c r="D38" s="79">
        <f>('wielkości początkowe'!E12+'wielkości początkowe'!F12+'wielkości początkowe'!G12)/3</f>
        <v>0.11811244838411768</v>
      </c>
      <c r="E38" s="79">
        <f>('wielkości początkowe'!F12+'wielkości początkowe'!G12+'wielkości początkowe'!H12)/3</f>
        <v>0.20018649357929211</v>
      </c>
      <c r="F38" s="79">
        <f>('wielkości początkowe'!G12+'wielkości początkowe'!H12+'wielkości początkowe'!I12)/3</f>
        <v>0.23351868723667005</v>
      </c>
      <c r="G38" s="79">
        <f>('wielkości początkowe'!H12+'wielkości początkowe'!I12+'wielkości początkowe'!J12)/3</f>
        <v>0.28506514121261983</v>
      </c>
      <c r="H38" s="79">
        <f>('wielkości początkowe'!I12+'wielkości początkowe'!J12+'wielkości początkowe'!K12)/3</f>
        <v>0.29218533490073839</v>
      </c>
      <c r="I38" s="79">
        <f>('wielkości początkowe'!J12+'wielkości początkowe'!K12+'wielkości początkowe'!L12)/3</f>
        <v>0.31198635032216443</v>
      </c>
      <c r="J38" s="79">
        <f>('wielkości początkowe'!K12+'wielkości początkowe'!L12+'wielkości początkowe'!M12)/3</f>
        <v>0.32675748560866702</v>
      </c>
      <c r="K38" s="79">
        <f>('wielkości początkowe'!L12+'wielkości początkowe'!M12+'wielkości początkowe'!N12)/3</f>
        <v>0.31532495875761674</v>
      </c>
      <c r="L38" s="79">
        <f>('wielkości początkowe'!M12+'wielkości początkowe'!N12+'wielkości początkowe'!O12)/3</f>
        <v>0.31211516838866799</v>
      </c>
    </row>
    <row r="39" spans="1:13" ht="29.25" customHeight="1">
      <c r="A39" s="70">
        <v>16</v>
      </c>
      <c r="B39" s="69" t="s">
        <v>116</v>
      </c>
      <c r="C39" s="78" t="str">
        <f>IF(C37&lt;=C38,"TAK","NIE")</f>
        <v>TAK</v>
      </c>
      <c r="D39" s="78" t="str">
        <f t="shared" ref="D39:L39" si="7">IF(D37&lt;=D38,"TAK","NIE")</f>
        <v>TAK</v>
      </c>
      <c r="E39" s="78" t="str">
        <f t="shared" si="7"/>
        <v>TAK</v>
      </c>
      <c r="F39" s="78" t="str">
        <f t="shared" si="7"/>
        <v>TAK</v>
      </c>
      <c r="G39" s="78" t="str">
        <f t="shared" si="7"/>
        <v>TAK</v>
      </c>
      <c r="H39" s="78" t="str">
        <f t="shared" si="7"/>
        <v>TAK</v>
      </c>
      <c r="I39" s="78" t="str">
        <f t="shared" si="7"/>
        <v>TAK</v>
      </c>
      <c r="J39" s="78" t="str">
        <f t="shared" si="7"/>
        <v>TAK</v>
      </c>
      <c r="K39" s="78" t="str">
        <f t="shared" si="7"/>
        <v>TAK</v>
      </c>
      <c r="L39" s="78" t="str">
        <f t="shared" si="7"/>
        <v>TAK</v>
      </c>
    </row>
    <row r="40" spans="1:13" ht="33" customHeight="1">
      <c r="A40" s="70">
        <v>17</v>
      </c>
      <c r="B40" s="69" t="s">
        <v>117</v>
      </c>
      <c r="C40" s="77">
        <f t="shared" ref="C40:L40" si="8">(C14+C25+C26)/C7</f>
        <v>3.2777374560569748E-2</v>
      </c>
      <c r="D40" s="77">
        <f t="shared" si="8"/>
        <v>8.0749608633996717E-2</v>
      </c>
      <c r="E40" s="77">
        <f t="shared" si="8"/>
        <v>6.6027769010622711E-2</v>
      </c>
      <c r="F40" s="77">
        <f t="shared" si="8"/>
        <v>8.3355362786666665E-2</v>
      </c>
      <c r="G40" s="77">
        <f t="shared" si="8"/>
        <v>0.10641911986994652</v>
      </c>
      <c r="H40" s="77">
        <f t="shared" si="8"/>
        <v>0.10659449354539764</v>
      </c>
      <c r="I40" s="77">
        <f t="shared" si="8"/>
        <v>0.10186988999372763</v>
      </c>
      <c r="J40" s="77">
        <f t="shared" si="8"/>
        <v>9.6952161256494959E-2</v>
      </c>
      <c r="K40" s="77">
        <f t="shared" si="8"/>
        <v>9.2099870663655728E-2</v>
      </c>
      <c r="L40" s="77">
        <f t="shared" si="8"/>
        <v>9.1108028507687205E-2</v>
      </c>
      <c r="M40" s="102"/>
    </row>
    <row r="41" spans="1:13" ht="28.5" customHeight="1" thickBot="1">
      <c r="A41" s="68">
        <v>18</v>
      </c>
      <c r="B41" s="67" t="s">
        <v>118</v>
      </c>
      <c r="C41" s="76">
        <f t="shared" ref="C41:L41" si="9">(C33-C34)/C7</f>
        <v>0.37238641554181395</v>
      </c>
      <c r="D41" s="76">
        <f t="shared" si="9"/>
        <v>0.39304573928856545</v>
      </c>
      <c r="E41" s="76">
        <f t="shared" si="9"/>
        <v>0.30773280490625432</v>
      </c>
      <c r="F41" s="76">
        <f t="shared" si="9"/>
        <v>0.33736519558256894</v>
      </c>
      <c r="G41" s="76">
        <f t="shared" si="9"/>
        <v>0.38129418416380451</v>
      </c>
      <c r="H41" s="76">
        <f t="shared" si="9"/>
        <v>0.31490872604301912</v>
      </c>
      <c r="I41" s="76">
        <f t="shared" si="9"/>
        <v>0.23414093058809468</v>
      </c>
      <c r="J41" s="76">
        <f t="shared" si="9"/>
        <v>0.15513273143974257</v>
      </c>
      <c r="K41" s="76">
        <f t="shared" si="9"/>
        <v>7.7114867314348398E-2</v>
      </c>
      <c r="L41" s="76">
        <f t="shared" si="9"/>
        <v>0</v>
      </c>
      <c r="M41" s="102"/>
    </row>
    <row r="42" spans="1:13" ht="49.5" customHeight="1" thickBot="1">
      <c r="A42" s="75"/>
      <c r="B42" s="74"/>
      <c r="C42" s="4"/>
      <c r="D42" s="4"/>
      <c r="E42" s="4"/>
      <c r="F42" s="4"/>
      <c r="G42" s="4"/>
      <c r="H42" s="4"/>
      <c r="I42" s="4"/>
      <c r="J42" s="4"/>
      <c r="K42" s="73"/>
      <c r="L42" s="4"/>
    </row>
    <row r="43" spans="1:13" ht="21" customHeight="1">
      <c r="A43" s="72">
        <v>19</v>
      </c>
      <c r="B43" s="71" t="s">
        <v>45</v>
      </c>
      <c r="C43" s="144">
        <f>C11+C26</f>
        <v>889147921</v>
      </c>
      <c r="D43" s="144">
        <f t="shared" ref="D43:L43" si="10">D11+D26</f>
        <v>638504624</v>
      </c>
      <c r="E43" s="144">
        <f t="shared" si="10"/>
        <v>598909063</v>
      </c>
      <c r="F43" s="144">
        <f t="shared" si="10"/>
        <v>577825444</v>
      </c>
      <c r="G43" s="144">
        <f t="shared" si="10"/>
        <v>577810731</v>
      </c>
      <c r="H43" s="144">
        <f t="shared" si="10"/>
        <v>585052381</v>
      </c>
      <c r="I43" s="144">
        <f t="shared" si="10"/>
        <v>592362165</v>
      </c>
      <c r="J43" s="144">
        <f t="shared" si="10"/>
        <v>599538992</v>
      </c>
      <c r="K43" s="144">
        <f t="shared" si="10"/>
        <v>606918188</v>
      </c>
      <c r="L43" s="144">
        <f t="shared" si="10"/>
        <v>614610670</v>
      </c>
    </row>
    <row r="44" spans="1:13" ht="21" customHeight="1">
      <c r="A44" s="70">
        <v>20</v>
      </c>
      <c r="B44" s="69" t="s">
        <v>44</v>
      </c>
      <c r="C44" s="138">
        <f t="shared" ref="C44:L44" si="11">C29+C43</f>
        <v>1793302603</v>
      </c>
      <c r="D44" s="138">
        <f t="shared" si="11"/>
        <v>1238927293</v>
      </c>
      <c r="E44" s="138">
        <f t="shared" si="11"/>
        <v>1517224273</v>
      </c>
      <c r="F44" s="138">
        <f t="shared" si="11"/>
        <v>1229116174</v>
      </c>
      <c r="G44" s="138">
        <f t="shared" si="11"/>
        <v>865511792</v>
      </c>
      <c r="H44" s="138">
        <f t="shared" si="11"/>
        <v>836135080</v>
      </c>
      <c r="I44" s="138">
        <f t="shared" si="11"/>
        <v>844045061</v>
      </c>
      <c r="J44" s="138">
        <f t="shared" si="11"/>
        <v>849717734</v>
      </c>
      <c r="K44" s="138">
        <f t="shared" si="11"/>
        <v>855111487</v>
      </c>
      <c r="L44" s="138">
        <f t="shared" si="11"/>
        <v>860915944</v>
      </c>
    </row>
    <row r="45" spans="1:13" ht="21" customHeight="1">
      <c r="A45" s="70">
        <v>21</v>
      </c>
      <c r="B45" s="69" t="s">
        <v>43</v>
      </c>
      <c r="C45" s="138">
        <f t="shared" ref="C45:L45" si="12">C7-C44</f>
        <v>-429404408</v>
      </c>
      <c r="D45" s="138">
        <f t="shared" si="12"/>
        <v>7668594</v>
      </c>
      <c r="E45" s="138">
        <f t="shared" si="12"/>
        <v>12582769</v>
      </c>
      <c r="F45" s="138">
        <f t="shared" si="12"/>
        <v>41644668</v>
      </c>
      <c r="G45" s="138">
        <f t="shared" si="12"/>
        <v>71451736</v>
      </c>
      <c r="H45" s="138">
        <f t="shared" si="12"/>
        <v>71451736</v>
      </c>
      <c r="I45" s="138">
        <f t="shared" si="12"/>
        <v>71451736</v>
      </c>
      <c r="J45" s="138">
        <f t="shared" si="12"/>
        <v>71451736</v>
      </c>
      <c r="K45" s="138">
        <f t="shared" si="12"/>
        <v>71451736</v>
      </c>
      <c r="L45" s="138">
        <f t="shared" si="12"/>
        <v>71451800</v>
      </c>
    </row>
    <row r="46" spans="1:13" ht="21" customHeight="1">
      <c r="A46" s="70">
        <v>22</v>
      </c>
      <c r="B46" s="69" t="s">
        <v>42</v>
      </c>
      <c r="C46" s="138">
        <f>C21+C22+C31</f>
        <v>453600594</v>
      </c>
      <c r="D46" s="138">
        <f t="shared" ref="D46:L46" si="13">D21+D22+D31</f>
        <v>54097770</v>
      </c>
      <c r="E46" s="138">
        <f t="shared" si="13"/>
        <v>54663401</v>
      </c>
      <c r="F46" s="138">
        <f t="shared" si="13"/>
        <v>32465444</v>
      </c>
      <c r="G46" s="138">
        <f t="shared" si="13"/>
        <v>0</v>
      </c>
      <c r="H46" s="138">
        <f t="shared" si="13"/>
        <v>0</v>
      </c>
      <c r="I46" s="138">
        <f t="shared" si="13"/>
        <v>0</v>
      </c>
      <c r="J46" s="138">
        <f t="shared" si="13"/>
        <v>0</v>
      </c>
      <c r="K46" s="138">
        <f t="shared" si="13"/>
        <v>0</v>
      </c>
      <c r="L46" s="138">
        <f t="shared" si="13"/>
        <v>0</v>
      </c>
    </row>
    <row r="47" spans="1:13" ht="21" customHeight="1" thickBot="1">
      <c r="A47" s="68">
        <v>23</v>
      </c>
      <c r="B47" s="67" t="s">
        <v>41</v>
      </c>
      <c r="C47" s="141">
        <f>C25+C27</f>
        <v>24196186</v>
      </c>
      <c r="D47" s="141">
        <f t="shared" ref="D47:L47" si="14">D25+D27</f>
        <v>61766364</v>
      </c>
      <c r="E47" s="141">
        <f t="shared" si="14"/>
        <v>67246170</v>
      </c>
      <c r="F47" s="141">
        <f t="shared" si="14"/>
        <v>74110112</v>
      </c>
      <c r="G47" s="141">
        <f t="shared" si="14"/>
        <v>71451736</v>
      </c>
      <c r="H47" s="141">
        <f t="shared" si="14"/>
        <v>71451736</v>
      </c>
      <c r="I47" s="141">
        <f t="shared" si="14"/>
        <v>71451736</v>
      </c>
      <c r="J47" s="141">
        <f t="shared" si="14"/>
        <v>71451736</v>
      </c>
      <c r="K47" s="141">
        <f t="shared" si="14"/>
        <v>71451736</v>
      </c>
      <c r="L47" s="141">
        <f t="shared" si="14"/>
        <v>71451800</v>
      </c>
    </row>
    <row r="48" spans="1:13" ht="55.5" customHeight="1" thickBot="1">
      <c r="A48" s="66"/>
      <c r="B48" s="65"/>
    </row>
    <row r="49" spans="1:12" ht="25.5" customHeight="1">
      <c r="A49" s="94">
        <v>24</v>
      </c>
      <c r="B49" s="133" t="s">
        <v>78</v>
      </c>
      <c r="C49" s="145">
        <f>SUM(C50:C56)</f>
        <v>24196186</v>
      </c>
      <c r="D49" s="145">
        <f t="shared" ref="D49:L49" si="15">SUM(D50:D56)</f>
        <v>61766364</v>
      </c>
      <c r="E49" s="145">
        <f t="shared" si="15"/>
        <v>67246170</v>
      </c>
      <c r="F49" s="145">
        <f t="shared" si="15"/>
        <v>74110112</v>
      </c>
      <c r="G49" s="145">
        <f t="shared" si="15"/>
        <v>71451736</v>
      </c>
      <c r="H49" s="145">
        <f t="shared" si="15"/>
        <v>71451736</v>
      </c>
      <c r="I49" s="145">
        <f t="shared" si="15"/>
        <v>71451736</v>
      </c>
      <c r="J49" s="145">
        <f t="shared" si="15"/>
        <v>71451736</v>
      </c>
      <c r="K49" s="145">
        <f t="shared" si="15"/>
        <v>71451736</v>
      </c>
      <c r="L49" s="145">
        <f t="shared" si="15"/>
        <v>71451800</v>
      </c>
    </row>
    <row r="50" spans="1:12" ht="21" customHeight="1">
      <c r="A50" s="167" t="s">
        <v>85</v>
      </c>
      <c r="B50" s="134" t="s">
        <v>108</v>
      </c>
      <c r="C50" s="146">
        <v>24196186</v>
      </c>
      <c r="D50" s="147">
        <v>61766364</v>
      </c>
      <c r="E50" s="146">
        <v>67246170</v>
      </c>
      <c r="F50" s="147">
        <v>74110112</v>
      </c>
      <c r="G50" s="146">
        <v>71451736</v>
      </c>
      <c r="H50" s="147">
        <v>71451736</v>
      </c>
      <c r="I50" s="146">
        <v>71451736</v>
      </c>
      <c r="J50" s="147">
        <v>71451736</v>
      </c>
      <c r="K50" s="146">
        <v>71451736</v>
      </c>
      <c r="L50" s="148">
        <v>71451800</v>
      </c>
    </row>
    <row r="51" spans="1:12" ht="19.5" customHeight="1">
      <c r="A51" s="168"/>
      <c r="B51" s="134" t="s">
        <v>79</v>
      </c>
      <c r="C51" s="146">
        <v>0</v>
      </c>
      <c r="D51" s="146">
        <v>0</v>
      </c>
      <c r="E51" s="146"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</row>
    <row r="52" spans="1:12" ht="18.75" customHeight="1">
      <c r="A52" s="168"/>
      <c r="B52" s="134" t="s">
        <v>80</v>
      </c>
      <c r="C52" s="146">
        <v>0</v>
      </c>
      <c r="D52" s="146">
        <v>0</v>
      </c>
      <c r="E52" s="146">
        <v>0</v>
      </c>
      <c r="F52" s="146">
        <v>0</v>
      </c>
      <c r="G52" s="146">
        <v>0</v>
      </c>
      <c r="H52" s="146">
        <v>0</v>
      </c>
      <c r="I52" s="146">
        <v>0</v>
      </c>
      <c r="J52" s="146">
        <v>0</v>
      </c>
      <c r="K52" s="146">
        <v>0</v>
      </c>
      <c r="L52" s="146">
        <v>0</v>
      </c>
    </row>
    <row r="53" spans="1:12" ht="19.5" customHeight="1">
      <c r="A53" s="168"/>
      <c r="B53" s="134" t="s">
        <v>81</v>
      </c>
      <c r="C53" s="146">
        <v>0</v>
      </c>
      <c r="D53" s="146">
        <v>0</v>
      </c>
      <c r="E53" s="146">
        <v>0</v>
      </c>
      <c r="F53" s="146">
        <v>0</v>
      </c>
      <c r="G53" s="146">
        <v>0</v>
      </c>
      <c r="H53" s="146">
        <v>0</v>
      </c>
      <c r="I53" s="146">
        <v>0</v>
      </c>
      <c r="J53" s="146">
        <v>0</v>
      </c>
      <c r="K53" s="146">
        <v>0</v>
      </c>
      <c r="L53" s="146">
        <v>0</v>
      </c>
    </row>
    <row r="54" spans="1:12" ht="19.5" customHeight="1">
      <c r="A54" s="168"/>
      <c r="B54" s="134" t="s">
        <v>82</v>
      </c>
      <c r="C54" s="146">
        <v>0</v>
      </c>
      <c r="D54" s="146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6">
        <v>0</v>
      </c>
      <c r="L54" s="146">
        <v>0</v>
      </c>
    </row>
    <row r="55" spans="1:12" ht="21.75" customHeight="1">
      <c r="A55" s="168"/>
      <c r="B55" s="134" t="s">
        <v>83</v>
      </c>
      <c r="C55" s="146">
        <v>0</v>
      </c>
      <c r="D55" s="146">
        <v>0</v>
      </c>
      <c r="E55" s="146">
        <v>0</v>
      </c>
      <c r="F55" s="146">
        <v>0</v>
      </c>
      <c r="G55" s="146">
        <v>0</v>
      </c>
      <c r="H55" s="146">
        <v>0</v>
      </c>
      <c r="I55" s="146">
        <v>0</v>
      </c>
      <c r="J55" s="146">
        <v>0</v>
      </c>
      <c r="K55" s="146">
        <v>0</v>
      </c>
      <c r="L55" s="146">
        <v>0</v>
      </c>
    </row>
    <row r="56" spans="1:12" ht="22.5" customHeight="1" thickBot="1">
      <c r="A56" s="169"/>
      <c r="B56" s="135" t="s">
        <v>84</v>
      </c>
      <c r="C56" s="149">
        <v>0</v>
      </c>
      <c r="D56" s="149">
        <v>0</v>
      </c>
      <c r="E56" s="149">
        <v>0</v>
      </c>
      <c r="F56" s="149">
        <v>0</v>
      </c>
      <c r="G56" s="149">
        <v>0</v>
      </c>
      <c r="H56" s="149">
        <v>0</v>
      </c>
      <c r="I56" s="149">
        <v>0</v>
      </c>
      <c r="J56" s="149">
        <v>0</v>
      </c>
      <c r="K56" s="149">
        <v>0</v>
      </c>
      <c r="L56" s="149">
        <v>0</v>
      </c>
    </row>
    <row r="57" spans="1:12" ht="62.25" customHeight="1" thickBo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28.5" customHeight="1">
      <c r="A58" s="72">
        <v>25</v>
      </c>
      <c r="B58" s="82" t="s">
        <v>86</v>
      </c>
      <c r="C58" s="150">
        <f>SUM(C59:C63)</f>
        <v>0</v>
      </c>
      <c r="D58" s="144">
        <f t="shared" ref="D58:L58" si="16">SUM(D59:D63)</f>
        <v>0</v>
      </c>
      <c r="E58" s="150">
        <f t="shared" si="16"/>
        <v>0</v>
      </c>
      <c r="F58" s="144">
        <f t="shared" si="16"/>
        <v>0</v>
      </c>
      <c r="G58" s="150">
        <f t="shared" si="16"/>
        <v>0</v>
      </c>
      <c r="H58" s="144">
        <f t="shared" si="16"/>
        <v>0</v>
      </c>
      <c r="I58" s="150">
        <f t="shared" si="16"/>
        <v>0</v>
      </c>
      <c r="J58" s="144">
        <f t="shared" si="16"/>
        <v>0</v>
      </c>
      <c r="K58" s="150">
        <f t="shared" si="16"/>
        <v>0</v>
      </c>
      <c r="L58" s="144">
        <f t="shared" si="16"/>
        <v>0</v>
      </c>
    </row>
    <row r="59" spans="1:12" ht="19.5" customHeight="1">
      <c r="A59" s="162" t="s">
        <v>85</v>
      </c>
      <c r="B59" s="95" t="s">
        <v>87</v>
      </c>
      <c r="C59" s="151">
        <v>0</v>
      </c>
      <c r="D59" s="138">
        <v>0</v>
      </c>
      <c r="E59" s="151">
        <v>0</v>
      </c>
      <c r="F59" s="138">
        <v>0</v>
      </c>
      <c r="G59" s="151">
        <v>0</v>
      </c>
      <c r="H59" s="138">
        <v>0</v>
      </c>
      <c r="I59" s="151">
        <v>0</v>
      </c>
      <c r="J59" s="138">
        <v>0</v>
      </c>
      <c r="K59" s="151">
        <v>0</v>
      </c>
      <c r="L59" s="138">
        <v>0</v>
      </c>
    </row>
    <row r="60" spans="1:12" ht="21" customHeight="1">
      <c r="A60" s="163"/>
      <c r="B60" s="95" t="s">
        <v>88</v>
      </c>
      <c r="C60" s="151">
        <v>0</v>
      </c>
      <c r="D60" s="138">
        <v>0</v>
      </c>
      <c r="E60" s="151">
        <v>0</v>
      </c>
      <c r="F60" s="138">
        <v>0</v>
      </c>
      <c r="G60" s="151">
        <v>0</v>
      </c>
      <c r="H60" s="138">
        <v>0</v>
      </c>
      <c r="I60" s="151">
        <v>0</v>
      </c>
      <c r="J60" s="138">
        <v>0</v>
      </c>
      <c r="K60" s="151">
        <v>0</v>
      </c>
      <c r="L60" s="138">
        <v>0</v>
      </c>
    </row>
    <row r="61" spans="1:12" ht="21" customHeight="1">
      <c r="A61" s="163"/>
      <c r="B61" s="95" t="s">
        <v>89</v>
      </c>
      <c r="C61" s="151">
        <v>0</v>
      </c>
      <c r="D61" s="138">
        <v>0</v>
      </c>
      <c r="E61" s="151">
        <v>0</v>
      </c>
      <c r="F61" s="138">
        <v>0</v>
      </c>
      <c r="G61" s="151">
        <v>0</v>
      </c>
      <c r="H61" s="138">
        <v>0</v>
      </c>
      <c r="I61" s="151">
        <v>0</v>
      </c>
      <c r="J61" s="138">
        <v>0</v>
      </c>
      <c r="K61" s="151">
        <v>0</v>
      </c>
      <c r="L61" s="138">
        <v>0</v>
      </c>
    </row>
    <row r="62" spans="1:12" ht="20.25" customHeight="1">
      <c r="A62" s="163"/>
      <c r="B62" s="95" t="s">
        <v>90</v>
      </c>
      <c r="C62" s="151">
        <v>0</v>
      </c>
      <c r="D62" s="138">
        <v>0</v>
      </c>
      <c r="E62" s="151">
        <v>0</v>
      </c>
      <c r="F62" s="138">
        <v>0</v>
      </c>
      <c r="G62" s="151">
        <v>0</v>
      </c>
      <c r="H62" s="138">
        <v>0</v>
      </c>
      <c r="I62" s="151">
        <v>0</v>
      </c>
      <c r="J62" s="138">
        <v>0</v>
      </c>
      <c r="K62" s="151">
        <v>0</v>
      </c>
      <c r="L62" s="138">
        <v>0</v>
      </c>
    </row>
    <row r="63" spans="1:12" ht="18.75" customHeight="1">
      <c r="A63" s="164"/>
      <c r="B63" s="95" t="s">
        <v>91</v>
      </c>
      <c r="C63" s="151">
        <v>0</v>
      </c>
      <c r="D63" s="138">
        <v>0</v>
      </c>
      <c r="E63" s="151">
        <v>0</v>
      </c>
      <c r="F63" s="138">
        <v>0</v>
      </c>
      <c r="G63" s="151">
        <v>0</v>
      </c>
      <c r="H63" s="138">
        <v>0</v>
      </c>
      <c r="I63" s="151">
        <v>0</v>
      </c>
      <c r="J63" s="138">
        <v>0</v>
      </c>
      <c r="K63" s="151">
        <v>0</v>
      </c>
      <c r="L63" s="138">
        <v>0</v>
      </c>
    </row>
    <row r="64" spans="1:12" ht="24.75" customHeight="1">
      <c r="A64" s="70">
        <v>26</v>
      </c>
      <c r="B64" s="84" t="s">
        <v>92</v>
      </c>
      <c r="C64" s="151">
        <f>SUM(C65:C71)</f>
        <v>429404408</v>
      </c>
      <c r="D64" s="138">
        <f t="shared" ref="D64:L64" si="17">SUM(D65:D71)</f>
        <v>0</v>
      </c>
      <c r="E64" s="151">
        <f t="shared" si="17"/>
        <v>0</v>
      </c>
      <c r="F64" s="138">
        <f t="shared" si="17"/>
        <v>0</v>
      </c>
      <c r="G64" s="151">
        <f t="shared" si="17"/>
        <v>0</v>
      </c>
      <c r="H64" s="138">
        <f t="shared" si="17"/>
        <v>0</v>
      </c>
      <c r="I64" s="151">
        <f t="shared" si="17"/>
        <v>0</v>
      </c>
      <c r="J64" s="138">
        <f t="shared" si="17"/>
        <v>0</v>
      </c>
      <c r="K64" s="151">
        <f t="shared" si="17"/>
        <v>0</v>
      </c>
      <c r="L64" s="138">
        <f t="shared" si="17"/>
        <v>0</v>
      </c>
    </row>
    <row r="65" spans="1:12" ht="21.75" customHeight="1">
      <c r="A65" s="162" t="s">
        <v>85</v>
      </c>
      <c r="B65" s="95" t="s">
        <v>93</v>
      </c>
      <c r="C65" s="151">
        <v>0</v>
      </c>
      <c r="D65" s="138">
        <v>0</v>
      </c>
      <c r="E65" s="151">
        <v>0</v>
      </c>
      <c r="F65" s="138">
        <v>0</v>
      </c>
      <c r="G65" s="151">
        <v>0</v>
      </c>
      <c r="H65" s="138">
        <v>0</v>
      </c>
      <c r="I65" s="151">
        <v>0</v>
      </c>
      <c r="J65" s="138">
        <v>0</v>
      </c>
      <c r="K65" s="151">
        <v>0</v>
      </c>
      <c r="L65" s="138">
        <v>0</v>
      </c>
    </row>
    <row r="66" spans="1:12" ht="21.75" customHeight="1">
      <c r="A66" s="163"/>
      <c r="B66" s="95" t="s">
        <v>94</v>
      </c>
      <c r="C66" s="151">
        <v>356300089</v>
      </c>
      <c r="D66" s="138">
        <v>0</v>
      </c>
      <c r="E66" s="151">
        <v>0</v>
      </c>
      <c r="F66" s="138">
        <v>0</v>
      </c>
      <c r="G66" s="151">
        <v>0</v>
      </c>
      <c r="H66" s="138">
        <v>0</v>
      </c>
      <c r="I66" s="151">
        <v>0</v>
      </c>
      <c r="J66" s="138">
        <v>0</v>
      </c>
      <c r="K66" s="151">
        <v>0</v>
      </c>
      <c r="L66" s="138">
        <v>0</v>
      </c>
    </row>
    <row r="67" spans="1:12" ht="20.25" customHeight="1">
      <c r="A67" s="163"/>
      <c r="B67" s="95" t="s">
        <v>84</v>
      </c>
      <c r="C67" s="151">
        <v>0</v>
      </c>
      <c r="D67" s="138">
        <v>0</v>
      </c>
      <c r="E67" s="151">
        <v>0</v>
      </c>
      <c r="F67" s="138">
        <v>0</v>
      </c>
      <c r="G67" s="151">
        <v>0</v>
      </c>
      <c r="H67" s="138">
        <v>0</v>
      </c>
      <c r="I67" s="151">
        <v>0</v>
      </c>
      <c r="J67" s="138">
        <v>0</v>
      </c>
      <c r="K67" s="151">
        <v>0</v>
      </c>
      <c r="L67" s="138">
        <v>0</v>
      </c>
    </row>
    <row r="68" spans="1:12" ht="21" customHeight="1">
      <c r="A68" s="163"/>
      <c r="B68" s="95" t="s">
        <v>81</v>
      </c>
      <c r="C68" s="151">
        <v>0</v>
      </c>
      <c r="D68" s="138">
        <v>0</v>
      </c>
      <c r="E68" s="151">
        <v>0</v>
      </c>
      <c r="F68" s="138">
        <v>0</v>
      </c>
      <c r="G68" s="151">
        <v>0</v>
      </c>
      <c r="H68" s="138">
        <v>0</v>
      </c>
      <c r="I68" s="151">
        <v>0</v>
      </c>
      <c r="J68" s="138">
        <v>0</v>
      </c>
      <c r="K68" s="151">
        <v>0</v>
      </c>
      <c r="L68" s="138">
        <v>0</v>
      </c>
    </row>
    <row r="69" spans="1:12" ht="20.25" customHeight="1">
      <c r="A69" s="163"/>
      <c r="B69" s="95" t="s">
        <v>83</v>
      </c>
      <c r="C69" s="151">
        <v>0</v>
      </c>
      <c r="D69" s="138">
        <v>0</v>
      </c>
      <c r="E69" s="151">
        <v>0</v>
      </c>
      <c r="F69" s="138">
        <v>0</v>
      </c>
      <c r="G69" s="151">
        <v>0</v>
      </c>
      <c r="H69" s="138">
        <v>0</v>
      </c>
      <c r="I69" s="151">
        <v>0</v>
      </c>
      <c r="J69" s="138">
        <v>0</v>
      </c>
      <c r="K69" s="151">
        <v>0</v>
      </c>
      <c r="L69" s="138">
        <v>0</v>
      </c>
    </row>
    <row r="70" spans="1:12" ht="21" customHeight="1">
      <c r="A70" s="163"/>
      <c r="B70" s="95" t="s">
        <v>79</v>
      </c>
      <c r="C70" s="153">
        <v>0</v>
      </c>
      <c r="D70" s="138">
        <v>0</v>
      </c>
      <c r="E70" s="151">
        <v>0</v>
      </c>
      <c r="F70" s="138">
        <v>0</v>
      </c>
      <c r="G70" s="151">
        <v>0</v>
      </c>
      <c r="H70" s="138">
        <v>0</v>
      </c>
      <c r="I70" s="151">
        <v>0</v>
      </c>
      <c r="J70" s="138">
        <v>0</v>
      </c>
      <c r="K70" s="151">
        <v>0</v>
      </c>
      <c r="L70" s="138">
        <v>0</v>
      </c>
    </row>
    <row r="71" spans="1:12" ht="21.75" customHeight="1" thickBot="1">
      <c r="A71" s="165"/>
      <c r="B71" s="96" t="s">
        <v>80</v>
      </c>
      <c r="C71" s="152">
        <v>73104319</v>
      </c>
      <c r="D71" s="141">
        <v>0</v>
      </c>
      <c r="E71" s="152">
        <v>0</v>
      </c>
      <c r="F71" s="141">
        <v>0</v>
      </c>
      <c r="G71" s="152">
        <v>0</v>
      </c>
      <c r="H71" s="141">
        <v>0</v>
      </c>
      <c r="I71" s="152">
        <v>0</v>
      </c>
      <c r="J71" s="141">
        <v>0</v>
      </c>
      <c r="K71" s="152">
        <v>0</v>
      </c>
      <c r="L71" s="141">
        <v>0</v>
      </c>
    </row>
  </sheetData>
  <mergeCells count="7">
    <mergeCell ref="A59:A63"/>
    <mergeCell ref="A65:A71"/>
    <mergeCell ref="K1:L1"/>
    <mergeCell ref="A50:A56"/>
    <mergeCell ref="A4:L4"/>
    <mergeCell ref="A2:B2"/>
    <mergeCell ref="A3:B3"/>
  </mergeCells>
  <pageMargins left="0.39370078740157483" right="0.39370078740157483" top="0.78740157480314965" bottom="0.51181102362204722" header="0" footer="0"/>
  <pageSetup paperSize="9" scale="70" orientation="landscape" r:id="rId1"/>
  <headerFooter>
    <oddFooter xml:space="preserve">&amp;R&amp;P 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4:P22"/>
  <sheetViews>
    <sheetView zoomScale="80" zoomScaleNormal="80" workbookViewId="0">
      <selection activeCell="F12" sqref="F12"/>
    </sheetView>
  </sheetViews>
  <sheetFormatPr defaultRowHeight="14.25"/>
  <cols>
    <col min="1" max="1" width="3.875" customWidth="1"/>
    <col min="2" max="2" width="16.25" customWidth="1"/>
    <col min="3" max="3" width="11.75" customWidth="1"/>
    <col min="4" max="9" width="11.875" customWidth="1"/>
    <col min="10" max="10" width="12" customWidth="1"/>
    <col min="11" max="11" width="11.375" customWidth="1"/>
    <col min="12" max="12" width="11.125" customWidth="1"/>
    <col min="13" max="14" width="10.875" customWidth="1"/>
    <col min="15" max="15" width="11" customWidth="1"/>
    <col min="16" max="16" width="11.375" customWidth="1"/>
  </cols>
  <sheetData>
    <row r="4" spans="1:16" ht="21" customHeight="1">
      <c r="A4" s="173" t="s">
        <v>104</v>
      </c>
      <c r="B4" s="173"/>
      <c r="C4" s="173"/>
      <c r="D4" s="173"/>
      <c r="E4" s="173"/>
      <c r="F4" s="173"/>
    </row>
    <row r="5" spans="1:16" ht="20.25" customHeight="1">
      <c r="A5" s="173"/>
      <c r="B5" s="173"/>
      <c r="C5" s="173"/>
      <c r="D5" s="173"/>
      <c r="E5" s="173"/>
      <c r="F5" s="173"/>
    </row>
    <row r="7" spans="1:16" ht="30" customHeight="1">
      <c r="A7" s="115" t="s">
        <v>99</v>
      </c>
      <c r="B7" s="116" t="s">
        <v>74</v>
      </c>
      <c r="C7" s="115">
        <v>2007</v>
      </c>
      <c r="D7" s="115">
        <v>2008</v>
      </c>
      <c r="E7" s="115">
        <v>2009</v>
      </c>
      <c r="F7" s="115">
        <v>2010</v>
      </c>
      <c r="G7" s="115">
        <v>2011</v>
      </c>
      <c r="H7" s="115">
        <v>2012</v>
      </c>
      <c r="I7" s="115">
        <v>2013</v>
      </c>
      <c r="J7" s="115">
        <v>2014</v>
      </c>
      <c r="K7" s="115">
        <v>2015</v>
      </c>
      <c r="L7" s="115">
        <v>2016</v>
      </c>
      <c r="M7" s="115">
        <v>2017</v>
      </c>
      <c r="N7" s="115">
        <v>2018</v>
      </c>
      <c r="O7" s="115">
        <v>2019</v>
      </c>
      <c r="P7" s="115">
        <v>2020</v>
      </c>
    </row>
    <row r="8" spans="1:16" ht="27.75" customHeight="1">
      <c r="A8" s="103">
        <v>1</v>
      </c>
      <c r="B8" s="104" t="s">
        <v>98</v>
      </c>
      <c r="C8" s="100">
        <v>908833652</v>
      </c>
      <c r="D8" s="100">
        <v>970011048</v>
      </c>
      <c r="E8" s="100">
        <v>1039676314</v>
      </c>
      <c r="F8" s="100">
        <v>946764743</v>
      </c>
      <c r="G8" s="99">
        <f>'Dochody wg źródeł'!F50</f>
        <v>1043446174</v>
      </c>
      <c r="H8" s="99">
        <f>'Dochody wg źródeł'!G50</f>
        <v>1036575748</v>
      </c>
      <c r="I8" s="99">
        <f>'Dochody wg źródeł'!H50</f>
        <v>990630767</v>
      </c>
      <c r="J8" s="99">
        <f>'Dochody wg źródeł'!I50</f>
        <v>917224394</v>
      </c>
      <c r="K8" s="99">
        <f>'Dochody wg źródeł'!J50</f>
        <v>900284771</v>
      </c>
      <c r="L8" s="99">
        <f>'Dochody wg źródeł'!K50</f>
        <v>870138216</v>
      </c>
      <c r="M8" s="99">
        <f>'Dochody wg źródeł'!L50</f>
        <v>875948197</v>
      </c>
      <c r="N8" s="99">
        <f>'Dochody wg źródeł'!M50</f>
        <v>881620870</v>
      </c>
      <c r="O8" s="99">
        <f>'Dochody wg źródeł'!N50</f>
        <v>887164623</v>
      </c>
      <c r="P8" s="99">
        <f>'Dochody wg źródeł'!O50</f>
        <v>892969144</v>
      </c>
    </row>
    <row r="9" spans="1:16" ht="28.5" customHeight="1">
      <c r="A9" s="103">
        <v>2</v>
      </c>
      <c r="B9" s="104" t="s">
        <v>97</v>
      </c>
      <c r="C9" s="100">
        <v>1112502.52</v>
      </c>
      <c r="D9" s="100">
        <v>2389824</v>
      </c>
      <c r="E9" s="100">
        <v>1449243</v>
      </c>
      <c r="F9" s="100">
        <v>6540689</v>
      </c>
      <c r="G9" s="99">
        <f>'Dochody wg źródeł'!F23</f>
        <v>5097400</v>
      </c>
      <c r="H9" s="99">
        <f>'Dochody wg źródeł'!G23</f>
        <v>7296600</v>
      </c>
      <c r="I9" s="99">
        <f>'Dochody wg źródeł'!H23</f>
        <v>3746600</v>
      </c>
      <c r="J9" s="99">
        <f>'Dochody wg źródeł'!I23</f>
        <v>5621600</v>
      </c>
      <c r="K9" s="99">
        <f>'Dochody wg źródeł'!J23</f>
        <v>2221600</v>
      </c>
      <c r="L9" s="99">
        <f>'Dochody wg źródeł'!K23</f>
        <v>3446600</v>
      </c>
      <c r="M9" s="99">
        <f>'Dochody wg źródeł'!L23</f>
        <v>5546600</v>
      </c>
      <c r="N9" s="99">
        <f>'Dochody wg źródeł'!M23</f>
        <v>5546600</v>
      </c>
      <c r="O9" s="99">
        <f>'Dochody wg źródeł'!N23</f>
        <v>5396600</v>
      </c>
      <c r="P9" s="99">
        <f>'Dochody wg źródeł'!O23</f>
        <v>5396600</v>
      </c>
    </row>
    <row r="10" spans="1:16" ht="28.5" customHeight="1">
      <c r="A10" s="103">
        <v>3</v>
      </c>
      <c r="B10" s="104" t="s">
        <v>96</v>
      </c>
      <c r="C10" s="100">
        <v>633547549</v>
      </c>
      <c r="D10" s="100">
        <v>739174464</v>
      </c>
      <c r="E10" s="100">
        <v>920057257</v>
      </c>
      <c r="F10" s="100">
        <v>741059249</v>
      </c>
      <c r="G10" s="99">
        <f>WPF!C43</f>
        <v>889147921</v>
      </c>
      <c r="H10" s="99">
        <f>WPF!D43</f>
        <v>638504624</v>
      </c>
      <c r="I10" s="99">
        <f>WPF!E43</f>
        <v>598909063</v>
      </c>
      <c r="J10" s="99">
        <f>WPF!F43</f>
        <v>577825444</v>
      </c>
      <c r="K10" s="99">
        <f>WPF!G43</f>
        <v>577810731</v>
      </c>
      <c r="L10" s="99">
        <f>WPF!H43</f>
        <v>585052381</v>
      </c>
      <c r="M10" s="99">
        <f>WPF!I43</f>
        <v>592362165</v>
      </c>
      <c r="N10" s="99">
        <f>WPF!J43</f>
        <v>599538992</v>
      </c>
      <c r="O10" s="99">
        <f>WPF!K43</f>
        <v>606918188</v>
      </c>
      <c r="P10" s="99">
        <f>WPF!L43</f>
        <v>614610670</v>
      </c>
    </row>
    <row r="11" spans="1:16" ht="28.5" customHeight="1">
      <c r="A11" s="103">
        <v>4</v>
      </c>
      <c r="B11" s="104" t="s">
        <v>95</v>
      </c>
      <c r="C11" s="100">
        <v>1126385138</v>
      </c>
      <c r="D11" s="100">
        <v>1143036215.1500001</v>
      </c>
      <c r="E11" s="100">
        <v>1533333032</v>
      </c>
      <c r="F11" s="100">
        <v>1338990951</v>
      </c>
      <c r="G11" s="99">
        <f>'Dochody wg źródeł'!F53</f>
        <v>1363898195</v>
      </c>
      <c r="H11" s="99">
        <f>'Dochody wg źródeł'!G53</f>
        <v>1246595887</v>
      </c>
      <c r="I11" s="99">
        <f>'Dochody wg źródeł'!H53</f>
        <v>1529807042</v>
      </c>
      <c r="J11" s="99">
        <f>'Dochody wg źródeł'!I53</f>
        <v>1270760842</v>
      </c>
      <c r="K11" s="99">
        <f>'Dochody wg źródeł'!J53</f>
        <v>936963528</v>
      </c>
      <c r="L11" s="99">
        <f>'Dochody wg źródeł'!K53</f>
        <v>907586816</v>
      </c>
      <c r="M11" s="99">
        <f>'Dochody wg źródeł'!L53</f>
        <v>915496797</v>
      </c>
      <c r="N11" s="99">
        <f>'Dochody wg źródeł'!M53</f>
        <v>921169470</v>
      </c>
      <c r="O11" s="99">
        <f>'Dochody wg źródeł'!N53</f>
        <v>926563223</v>
      </c>
      <c r="P11" s="99">
        <f>'Dochody wg źródeł'!O53</f>
        <v>932367744</v>
      </c>
    </row>
    <row r="12" spans="1:16" ht="60">
      <c r="A12" s="103">
        <v>5</v>
      </c>
      <c r="B12" s="104" t="s">
        <v>103</v>
      </c>
      <c r="C12" s="101">
        <f t="shared" ref="C12:P12" si="0">(C8+C9-C10)/C11</f>
        <v>0.24538552240734551</v>
      </c>
      <c r="D12" s="101">
        <f t="shared" si="0"/>
        <v>0.20404113615017333</v>
      </c>
      <c r="E12" s="101">
        <f t="shared" si="0"/>
        <v>7.8957602473407093E-2</v>
      </c>
      <c r="F12" s="101">
        <f t="shared" si="0"/>
        <v>0.15851203687484816</v>
      </c>
      <c r="G12" s="101">
        <f t="shared" si="0"/>
        <v>0.11686770580409779</v>
      </c>
      <c r="H12" s="101">
        <f t="shared" si="0"/>
        <v>0.32517973805893041</v>
      </c>
      <c r="I12" s="101">
        <f t="shared" si="0"/>
        <v>0.25850861784698204</v>
      </c>
      <c r="J12" s="101">
        <f t="shared" si="0"/>
        <v>0.27150706773194699</v>
      </c>
      <c r="K12" s="101">
        <f t="shared" si="0"/>
        <v>0.34654031912328609</v>
      </c>
      <c r="L12" s="101">
        <f t="shared" si="0"/>
        <v>0.31791166411126009</v>
      </c>
      <c r="M12" s="101">
        <f t="shared" si="0"/>
        <v>0.31582047359145488</v>
      </c>
      <c r="N12" s="101">
        <f t="shared" si="0"/>
        <v>0.31224273857013518</v>
      </c>
      <c r="O12" s="101">
        <f t="shared" si="0"/>
        <v>0.30828229300441379</v>
      </c>
      <c r="P12" s="101">
        <f t="shared" si="0"/>
        <v>0.30433814964752792</v>
      </c>
    </row>
    <row r="18" spans="3:3">
      <c r="C18" s="102"/>
    </row>
    <row r="20" spans="3:3">
      <c r="C20" s="102"/>
    </row>
    <row r="22" spans="3:3">
      <c r="C22" s="102"/>
    </row>
  </sheetData>
  <mergeCells count="1">
    <mergeCell ref="A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Dochody wg źródeł</vt:lpstr>
      <vt:lpstr>WPF</vt:lpstr>
      <vt:lpstr>wielkości początkowe</vt:lpstr>
      <vt:lpstr>'Dochody wg źródeł'!Obszar_wydruku</vt:lpstr>
      <vt:lpstr>WPF!Tytuły_wydruku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SzymczykDamian</dc:creator>
  <cp:lastModifiedBy>SzymczykDamian</cp:lastModifiedBy>
  <cp:lastPrinted>2011-08-17T11:58:59Z</cp:lastPrinted>
  <dcterms:created xsi:type="dcterms:W3CDTF">2010-10-25T12:00:20Z</dcterms:created>
  <dcterms:modified xsi:type="dcterms:W3CDTF">2011-08-30T09:46:38Z</dcterms:modified>
</cp:coreProperties>
</file>