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12015" tabRatio="953"/>
  </bookViews>
  <sheets>
    <sheet name="WPF - nowy" sheetId="18" r:id="rId1"/>
    <sheet name="WPF" sheetId="13" state="hidden" r:id="rId2"/>
    <sheet name="DANE ZBIORCZE" sheetId="14" r:id="rId3"/>
    <sheet name="wielkości początkowe" sheetId="15" r:id="rId4"/>
    <sheet name="Koszty kredytów" sheetId="8" r:id="rId5"/>
    <sheet name="Kredyt - 40 mln" sheetId="4" r:id="rId6"/>
    <sheet name="Stadion" sheetId="3" r:id="rId7"/>
    <sheet name="Drogi" sheetId="6" r:id="rId8"/>
    <sheet name="Kultura, Akcje+Elfy" sheetId="7" r:id="rId9"/>
    <sheet name="KREDYTY 2011" sheetId="2" r:id="rId10"/>
    <sheet name="Kredyt 2012" sheetId="9" r:id="rId11"/>
    <sheet name="KREDYT 2013" sheetId="10" r:id="rId12"/>
    <sheet name="KREDYT 2014" sheetId="12" r:id="rId13"/>
    <sheet name="Zestawienie kredytów" sheetId="1" r:id="rId14"/>
  </sheets>
  <definedNames>
    <definedName name="_xlnm.Print_Area" localSheetId="2">'DANE ZBIORCZE'!$A$1:$L$66</definedName>
    <definedName name="_xlnm.Print_Area" localSheetId="5">'Kredyt - 40 mln'!$A$1:$F$79</definedName>
    <definedName name="_xlnm.Print_Area" localSheetId="10">'Kredyt 2012'!$A$1:$F$150</definedName>
    <definedName name="_xlnm.Print_Area" localSheetId="9">'KREDYTY 2011'!$A$1:$F$150</definedName>
    <definedName name="_xlnm.Print_Area" localSheetId="1">WPF!$A$1:$M$62</definedName>
    <definedName name="_xlnm.Print_Area" localSheetId="13">'Zestawienie kredytów'!$A$1:$F$62</definedName>
    <definedName name="_xlnm.Print_Titles" localSheetId="1">WPF!$A$4:$IV$4</definedName>
    <definedName name="_xlnm.Print_Titles" localSheetId="0">'WPF - nowy'!$4:$4</definedName>
  </definedNames>
  <calcPr calcId="125725"/>
</workbook>
</file>

<file path=xl/calcChain.xml><?xml version="1.0" encoding="utf-8"?>
<calcChain xmlns="http://schemas.openxmlformats.org/spreadsheetml/2006/main">
  <c r="M47" i="18"/>
  <c r="L47"/>
  <c r="K47"/>
  <c r="J47"/>
  <c r="I47"/>
  <c r="G47"/>
  <c r="G52"/>
  <c r="M28"/>
  <c r="L28"/>
  <c r="K28"/>
  <c r="J28"/>
  <c r="I28"/>
  <c r="H28"/>
  <c r="G28"/>
  <c r="M24"/>
  <c r="L24"/>
  <c r="K24"/>
  <c r="J24"/>
  <c r="I24"/>
  <c r="H24"/>
  <c r="M23"/>
  <c r="L23"/>
  <c r="K23"/>
  <c r="J23"/>
  <c r="I23"/>
  <c r="H23"/>
  <c r="G23"/>
  <c r="F23"/>
  <c r="M22"/>
  <c r="L22"/>
  <c r="K22"/>
  <c r="J22"/>
  <c r="I22"/>
  <c r="H22"/>
  <c r="G22"/>
  <c r="F22"/>
  <c r="E22"/>
  <c r="D55" i="14"/>
  <c r="D11"/>
  <c r="D56"/>
  <c r="D26"/>
  <c r="D23"/>
  <c r="D43"/>
  <c r="F28" i="18"/>
  <c r="E28"/>
  <c r="C7" i="14" l="1"/>
  <c r="C11"/>
  <c r="F16" i="18" l="1"/>
  <c r="E23"/>
  <c r="P10" i="15" l="1"/>
  <c r="O10"/>
  <c r="N10"/>
  <c r="M10"/>
  <c r="L10"/>
  <c r="K10"/>
  <c r="J10"/>
  <c r="I10"/>
  <c r="H10"/>
  <c r="G24" i="18"/>
  <c r="F24"/>
  <c r="E24"/>
  <c r="E58" s="1"/>
  <c r="D24"/>
  <c r="D58" s="1"/>
  <c r="M10" l="1"/>
  <c r="L10"/>
  <c r="K10"/>
  <c r="J10"/>
  <c r="I10"/>
  <c r="H10"/>
  <c r="G10"/>
  <c r="F10"/>
  <c r="E10"/>
  <c r="M16"/>
  <c r="L16"/>
  <c r="K16"/>
  <c r="J16"/>
  <c r="I16"/>
  <c r="H16"/>
  <c r="G16"/>
  <c r="E16"/>
  <c r="F61" i="14" l="1"/>
  <c r="E61"/>
  <c r="D61"/>
  <c r="D16" i="18"/>
  <c r="D28"/>
  <c r="D22"/>
  <c r="D23"/>
  <c r="C55" i="14"/>
  <c r="D10" i="18" l="1"/>
  <c r="L57" i="14"/>
  <c r="K57"/>
  <c r="J57"/>
  <c r="I57"/>
  <c r="H57"/>
  <c r="G57"/>
  <c r="F57"/>
  <c r="E57"/>
  <c r="D57"/>
  <c r="L54"/>
  <c r="K54"/>
  <c r="J54"/>
  <c r="I54"/>
  <c r="H54"/>
  <c r="G54"/>
  <c r="F54"/>
  <c r="E54"/>
  <c r="D54"/>
  <c r="C54"/>
  <c r="C8"/>
  <c r="C22"/>
  <c r="C27"/>
  <c r="C34"/>
  <c r="A145" i="9"/>
  <c r="A144"/>
  <c r="E45" i="1"/>
  <c r="A52" i="8"/>
  <c r="E42" i="1"/>
  <c r="F42"/>
  <c r="A109" i="10"/>
  <c r="E52" i="1"/>
  <c r="E50" s="1"/>
  <c r="D17" i="18"/>
  <c r="F55" i="1"/>
  <c r="F54"/>
  <c r="C33" i="14" l="1"/>
  <c r="C6"/>
  <c r="F52" i="1"/>
  <c r="F50" s="1"/>
  <c r="A13" i="10" s="1"/>
  <c r="D50" i="1"/>
  <c r="M21" i="18"/>
  <c r="M20" s="1"/>
  <c r="L21"/>
  <c r="L20" s="1"/>
  <c r="K21"/>
  <c r="K20" s="1"/>
  <c r="J21"/>
  <c r="J20" s="1"/>
  <c r="I21"/>
  <c r="I20" s="1"/>
  <c r="H21"/>
  <c r="H20" s="1"/>
  <c r="G21"/>
  <c r="F21"/>
  <c r="E21"/>
  <c r="D21"/>
  <c r="L9"/>
  <c r="J9"/>
  <c r="H9"/>
  <c r="K9"/>
  <c r="M8"/>
  <c r="L8"/>
  <c r="K8"/>
  <c r="J8"/>
  <c r="I8"/>
  <c r="H8"/>
  <c r="G8"/>
  <c r="F8"/>
  <c r="E8"/>
  <c r="D8"/>
  <c r="D16" i="13"/>
  <c r="C40" i="14" l="1"/>
  <c r="F25" i="18"/>
  <c r="G9"/>
  <c r="I9"/>
  <c r="M9"/>
  <c r="F20"/>
  <c r="E9"/>
  <c r="D9"/>
  <c r="D10" i="13" l="1"/>
  <c r="F45" i="1"/>
  <c r="F44"/>
  <c r="F43"/>
  <c r="E40"/>
  <c r="E38" s="1"/>
  <c r="F41"/>
  <c r="F40" l="1"/>
  <c r="F39"/>
  <c r="F38" l="1"/>
  <c r="E25" i="18" s="1"/>
  <c r="E20" l="1"/>
  <c r="E55"/>
  <c r="G38" i="1"/>
  <c r="F134" i="9"/>
  <c r="F132"/>
  <c r="F130"/>
  <c r="F128"/>
  <c r="F122"/>
  <c r="F120"/>
  <c r="F118"/>
  <c r="F116"/>
  <c r="F110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56"/>
  <c r="F50"/>
  <c r="F48"/>
  <c r="F46"/>
  <c r="F44"/>
  <c r="E10" i="13"/>
  <c r="F12" i="15"/>
  <c r="E12"/>
  <c r="D12"/>
  <c r="C12"/>
  <c r="P9"/>
  <c r="O9"/>
  <c r="N9"/>
  <c r="M9"/>
  <c r="L9"/>
  <c r="K9"/>
  <c r="J9"/>
  <c r="I9"/>
  <c r="H9"/>
  <c r="C44" i="14"/>
  <c r="O42"/>
  <c r="N42"/>
  <c r="M42"/>
  <c r="L42"/>
  <c r="K42"/>
  <c r="J42"/>
  <c r="I42"/>
  <c r="H42"/>
  <c r="G42"/>
  <c r="F42"/>
  <c r="E42"/>
  <c r="D42"/>
  <c r="C42"/>
  <c r="L33"/>
  <c r="K33"/>
  <c r="J33"/>
  <c r="I33"/>
  <c r="H33"/>
  <c r="G33"/>
  <c r="F33"/>
  <c r="E33"/>
  <c r="D33"/>
  <c r="O32"/>
  <c r="N32"/>
  <c r="M32"/>
  <c r="O27"/>
  <c r="N27"/>
  <c r="M27"/>
  <c r="L27"/>
  <c r="K27"/>
  <c r="J27"/>
  <c r="I27"/>
  <c r="H27"/>
  <c r="G27"/>
  <c r="F27"/>
  <c r="E27"/>
  <c r="D27"/>
  <c r="O22"/>
  <c r="O48" s="1"/>
  <c r="N22"/>
  <c r="N48" s="1"/>
  <c r="M22"/>
  <c r="M48" s="1"/>
  <c r="L22"/>
  <c r="L48" s="1"/>
  <c r="L53" s="1"/>
  <c r="M7" i="18" s="1"/>
  <c r="K22" i="14"/>
  <c r="K48" s="1"/>
  <c r="K53" s="1"/>
  <c r="L7" i="18" s="1"/>
  <c r="J22" i="14"/>
  <c r="J48" s="1"/>
  <c r="J53" s="1"/>
  <c r="K7" i="18" s="1"/>
  <c r="I22" i="14"/>
  <c r="I48" s="1"/>
  <c r="I53" s="1"/>
  <c r="J7" i="18" s="1"/>
  <c r="H22" i="14"/>
  <c r="H48" s="1"/>
  <c r="H53" s="1"/>
  <c r="I7" i="18" s="1"/>
  <c r="G22" i="14"/>
  <c r="G48" s="1"/>
  <c r="G53" s="1"/>
  <c r="H7" i="18" s="1"/>
  <c r="F22" i="14"/>
  <c r="F48" s="1"/>
  <c r="F53" s="1"/>
  <c r="G7" i="18" s="1"/>
  <c r="E22" i="14"/>
  <c r="E48" s="1"/>
  <c r="E53" s="1"/>
  <c r="F7" i="18" s="1"/>
  <c r="D22" i="14"/>
  <c r="D48" s="1"/>
  <c r="C48"/>
  <c r="C53" s="1"/>
  <c r="D7" i="18" s="1"/>
  <c r="M10" i="14"/>
  <c r="N10" s="1"/>
  <c r="O10" s="1"/>
  <c r="M9"/>
  <c r="N9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D8"/>
  <c r="D7" s="1"/>
  <c r="M20" i="13"/>
  <c r="L20"/>
  <c r="K20"/>
  <c r="J20"/>
  <c r="I20"/>
  <c r="H20"/>
  <c r="G20"/>
  <c r="F20"/>
  <c r="D20"/>
  <c r="M10"/>
  <c r="M9" s="1"/>
  <c r="L10"/>
  <c r="L9" s="1"/>
  <c r="K10"/>
  <c r="K9" s="1"/>
  <c r="J10"/>
  <c r="J9" s="1"/>
  <c r="I10"/>
  <c r="I9" s="1"/>
  <c r="H10"/>
  <c r="H9" s="1"/>
  <c r="G10"/>
  <c r="G9" s="1"/>
  <c r="D19"/>
  <c r="D9"/>
  <c r="M8"/>
  <c r="L8"/>
  <c r="K8"/>
  <c r="J8"/>
  <c r="I8"/>
  <c r="H8"/>
  <c r="G8"/>
  <c r="F8"/>
  <c r="E8"/>
  <c r="D8"/>
  <c r="D5"/>
  <c r="A38" i="9"/>
  <c r="L47" i="14" l="1"/>
  <c r="L52" s="1"/>
  <c r="L51" s="1"/>
  <c r="F47"/>
  <c r="F52" s="1"/>
  <c r="F51" s="1"/>
  <c r="H47"/>
  <c r="H52" s="1"/>
  <c r="H51" s="1"/>
  <c r="J47"/>
  <c r="J52" s="1"/>
  <c r="J6"/>
  <c r="J40" s="1"/>
  <c r="J46" s="1"/>
  <c r="D53"/>
  <c r="E7" i="18" s="1"/>
  <c r="F6" i="14"/>
  <c r="F40" s="1"/>
  <c r="F46" s="1"/>
  <c r="G7" i="13"/>
  <c r="I7"/>
  <c r="K7"/>
  <c r="M7"/>
  <c r="D47" i="14"/>
  <c r="F7" i="13"/>
  <c r="H7"/>
  <c r="J7"/>
  <c r="L7"/>
  <c r="H6" i="14"/>
  <c r="H40" s="1"/>
  <c r="H46" s="1"/>
  <c r="L6"/>
  <c r="L40" s="1"/>
  <c r="L46" s="1"/>
  <c r="D33" i="18"/>
  <c r="E16" i="13"/>
  <c r="E9" s="1"/>
  <c r="E47" i="14"/>
  <c r="E6"/>
  <c r="E40" s="1"/>
  <c r="E46" s="1"/>
  <c r="I47"/>
  <c r="I6"/>
  <c r="I40" s="1"/>
  <c r="I46" s="1"/>
  <c r="C47"/>
  <c r="G47"/>
  <c r="G52" s="1"/>
  <c r="G6"/>
  <c r="G40" s="1"/>
  <c r="G46" s="1"/>
  <c r="K47"/>
  <c r="K52" s="1"/>
  <c r="K6"/>
  <c r="K40" s="1"/>
  <c r="K46" s="1"/>
  <c r="M47"/>
  <c r="M6"/>
  <c r="M39" s="1"/>
  <c r="M46" s="1"/>
  <c r="D35" i="13"/>
  <c r="D6" i="14"/>
  <c r="D40" s="1"/>
  <c r="D46" s="1"/>
  <c r="E25" i="13"/>
  <c r="E20" s="1"/>
  <c r="N8" i="14"/>
  <c r="N7" s="1"/>
  <c r="O9"/>
  <c r="O8" s="1"/>
  <c r="O7" s="1"/>
  <c r="E7" i="13"/>
  <c r="D18"/>
  <c r="C14" i="12"/>
  <c r="C14" i="10"/>
  <c r="C15" i="9"/>
  <c r="F32" i="2"/>
  <c r="F134"/>
  <c r="F132"/>
  <c r="E27" i="1"/>
  <c r="L11" i="15" l="1"/>
  <c r="H72" i="14"/>
  <c r="P11" i="15"/>
  <c r="L72" i="14"/>
  <c r="H6" i="13"/>
  <c r="K6"/>
  <c r="G6"/>
  <c r="J11" i="15"/>
  <c r="F72" i="14"/>
  <c r="M6" i="13"/>
  <c r="I6"/>
  <c r="L6"/>
  <c r="L8" i="15"/>
  <c r="L12" s="1"/>
  <c r="I6" i="18"/>
  <c r="P8" i="15"/>
  <c r="M6" i="18"/>
  <c r="O8" i="15"/>
  <c r="L6" i="18"/>
  <c r="L5" s="1"/>
  <c r="L18" s="1"/>
  <c r="L52" s="1"/>
  <c r="K8" i="15"/>
  <c r="H6" i="18"/>
  <c r="N8" i="15"/>
  <c r="K6" i="18"/>
  <c r="J8" i="15"/>
  <c r="G6" i="18"/>
  <c r="G19" s="1"/>
  <c r="J51" i="14"/>
  <c r="G5" i="18"/>
  <c r="G18" s="1"/>
  <c r="J68" i="14"/>
  <c r="L68"/>
  <c r="H68"/>
  <c r="J6" i="13"/>
  <c r="J5" s="1"/>
  <c r="J18" s="1"/>
  <c r="I52" i="14"/>
  <c r="F68"/>
  <c r="E52"/>
  <c r="F6" i="18" s="1"/>
  <c r="F5" s="1"/>
  <c r="F6" i="13"/>
  <c r="F5" s="1"/>
  <c r="E6"/>
  <c r="L19" i="18"/>
  <c r="K51" i="14"/>
  <c r="H19" i="18"/>
  <c r="G51" i="14"/>
  <c r="D52"/>
  <c r="E6" i="18" s="1"/>
  <c r="E19" s="1"/>
  <c r="I51" i="14"/>
  <c r="C52"/>
  <c r="D106" i="10"/>
  <c r="J12" i="15"/>
  <c r="L19" i="13"/>
  <c r="L5"/>
  <c r="L18" s="1"/>
  <c r="H19"/>
  <c r="H5"/>
  <c r="H18" s="1"/>
  <c r="N47" i="14"/>
  <c r="N6"/>
  <c r="N39" s="1"/>
  <c r="N46" s="1"/>
  <c r="I19" i="13"/>
  <c r="I5"/>
  <c r="I18" s="1"/>
  <c r="G19"/>
  <c r="G5"/>
  <c r="G18" s="1"/>
  <c r="E19"/>
  <c r="E5"/>
  <c r="P12" i="15"/>
  <c r="O6" i="14"/>
  <c r="O39" s="1"/>
  <c r="O46" s="1"/>
  <c r="O47"/>
  <c r="M19" i="13"/>
  <c r="M5"/>
  <c r="M18" s="1"/>
  <c r="K19"/>
  <c r="K5"/>
  <c r="K18" s="1"/>
  <c r="G3" i="1"/>
  <c r="G16"/>
  <c r="M11" i="15" l="1"/>
  <c r="I72" i="14"/>
  <c r="K11" i="15"/>
  <c r="K12" s="1"/>
  <c r="G72" i="14"/>
  <c r="O11" i="15"/>
  <c r="O12" s="1"/>
  <c r="K72" i="14"/>
  <c r="N11" i="15"/>
  <c r="N12" s="1"/>
  <c r="J72" i="14"/>
  <c r="J19" i="13"/>
  <c r="M8" i="15"/>
  <c r="M12" s="1"/>
  <c r="M33" i="18" s="1"/>
  <c r="J6"/>
  <c r="J5" s="1"/>
  <c r="J18" s="1"/>
  <c r="J52" s="1"/>
  <c r="K5"/>
  <c r="K18" s="1"/>
  <c r="K19"/>
  <c r="M5"/>
  <c r="M18" s="1"/>
  <c r="M19"/>
  <c r="I5"/>
  <c r="I18" s="1"/>
  <c r="I19"/>
  <c r="H5"/>
  <c r="H18" s="1"/>
  <c r="H52" s="1"/>
  <c r="E51" i="14"/>
  <c r="I11" i="15" s="1"/>
  <c r="I8"/>
  <c r="I68" i="14"/>
  <c r="D51"/>
  <c r="H8" i="15"/>
  <c r="K68" i="14"/>
  <c r="E5" i="18"/>
  <c r="E18" s="1"/>
  <c r="E53" s="1"/>
  <c r="G68" i="14"/>
  <c r="J19" i="18"/>
  <c r="C51" i="14"/>
  <c r="D6" i="18"/>
  <c r="J33"/>
  <c r="M35" i="13"/>
  <c r="L33" i="18"/>
  <c r="L35" i="13"/>
  <c r="J35"/>
  <c r="C46" i="14"/>
  <c r="E18" i="13"/>
  <c r="E28" i="1"/>
  <c r="K35" i="13" l="1"/>
  <c r="K33" i="18"/>
  <c r="I52"/>
  <c r="M52"/>
  <c r="K52"/>
  <c r="E68" i="14"/>
  <c r="G12" i="15"/>
  <c r="H11"/>
  <c r="H12" s="1"/>
  <c r="D19" i="18"/>
  <c r="D5"/>
  <c r="D18" s="1"/>
  <c r="D53" s="1"/>
  <c r="D140" i="2"/>
  <c r="E33" i="18" l="1"/>
  <c r="F33"/>
  <c r="F35" i="13"/>
  <c r="E35"/>
  <c r="F97" i="10"/>
  <c r="F19"/>
  <c r="F21"/>
  <c r="F23"/>
  <c r="F25"/>
  <c r="F31"/>
  <c r="F33"/>
  <c r="F35"/>
  <c r="F37"/>
  <c r="F43"/>
  <c r="F45"/>
  <c r="F47"/>
  <c r="F49"/>
  <c r="F55"/>
  <c r="F57"/>
  <c r="F59"/>
  <c r="F61"/>
  <c r="D95" i="12"/>
  <c r="G33" i="8" s="1"/>
  <c r="D94" i="12"/>
  <c r="A86"/>
  <c r="F91"/>
  <c r="F26"/>
  <c r="F24"/>
  <c r="F22"/>
  <c r="F20"/>
  <c r="F38"/>
  <c r="F36"/>
  <c r="F34"/>
  <c r="F32"/>
  <c r="F50"/>
  <c r="F48"/>
  <c r="F46"/>
  <c r="F44"/>
  <c r="F62"/>
  <c r="F60"/>
  <c r="F58"/>
  <c r="F56"/>
  <c r="F84"/>
  <c r="F82"/>
  <c r="F80"/>
  <c r="F74"/>
  <c r="F68"/>
  <c r="F70"/>
  <c r="F72"/>
  <c r="F86"/>
  <c r="A20"/>
  <c r="C7"/>
  <c r="C9"/>
  <c r="C11"/>
  <c r="C13"/>
  <c r="D13" s="1"/>
  <c r="D15" s="1"/>
  <c r="F15"/>
  <c r="B103"/>
  <c r="F60" i="1"/>
  <c r="G25" i="18" s="1"/>
  <c r="G20" s="1"/>
  <c r="E60" i="1"/>
  <c r="D60"/>
  <c r="F28" i="12" l="1"/>
  <c r="F52"/>
  <c r="F64"/>
  <c r="F76"/>
  <c r="F88"/>
  <c r="F40"/>
  <c r="B114" i="10"/>
  <c r="F95"/>
  <c r="F93"/>
  <c r="F91"/>
  <c r="F85"/>
  <c r="F83"/>
  <c r="F81"/>
  <c r="F79"/>
  <c r="F73"/>
  <c r="F71"/>
  <c r="F69"/>
  <c r="F67"/>
  <c r="F63"/>
  <c r="A19"/>
  <c r="A21" s="1"/>
  <c r="F15"/>
  <c r="C13"/>
  <c r="D13" s="1"/>
  <c r="D15" s="1"/>
  <c r="C11"/>
  <c r="C9"/>
  <c r="C7"/>
  <c r="F33" i="8" l="1"/>
  <c r="F75" i="10"/>
  <c r="F87"/>
  <c r="F39"/>
  <c r="F27"/>
  <c r="F51"/>
  <c r="F99"/>
  <c r="C19"/>
  <c r="D19" s="1"/>
  <c r="A23"/>
  <c r="C21"/>
  <c r="D21" s="1"/>
  <c r="D140" i="9"/>
  <c r="D38" i="1"/>
  <c r="F102" i="10" l="1"/>
  <c r="C23"/>
  <c r="D23" s="1"/>
  <c r="A25"/>
  <c r="D142" i="9"/>
  <c r="C14" i="4"/>
  <c r="F20" i="7"/>
  <c r="F20" i="3"/>
  <c r="A9" i="4"/>
  <c r="B150" i="9"/>
  <c r="F136"/>
  <c r="F124"/>
  <c r="F112"/>
  <c r="F88"/>
  <c r="F76"/>
  <c r="F64"/>
  <c r="A44"/>
  <c r="A46" s="1"/>
  <c r="F40"/>
  <c r="C38"/>
  <c r="C36"/>
  <c r="C34"/>
  <c r="C32"/>
  <c r="F13"/>
  <c r="F16" s="1"/>
  <c r="C13"/>
  <c r="D13" s="1"/>
  <c r="C11"/>
  <c r="C9"/>
  <c r="C7"/>
  <c r="C14" s="1"/>
  <c r="D38" l="1"/>
  <c r="D40" s="1"/>
  <c r="C39"/>
  <c r="C20" i="12"/>
  <c r="A31" i="10"/>
  <c r="C25"/>
  <c r="D25" s="1"/>
  <c r="D27" s="1"/>
  <c r="F52" i="9"/>
  <c r="F100"/>
  <c r="C44"/>
  <c r="D44" s="1"/>
  <c r="A48"/>
  <c r="C46"/>
  <c r="D46" s="1"/>
  <c r="D16"/>
  <c r="F138" l="1"/>
  <c r="A22" i="12"/>
  <c r="D20"/>
  <c r="A24"/>
  <c r="C22"/>
  <c r="D22" s="1"/>
  <c r="A33" i="10"/>
  <c r="C31"/>
  <c r="C26"/>
  <c r="A50" i="9"/>
  <c r="C48"/>
  <c r="C24" i="12" l="1"/>
  <c r="D24" s="1"/>
  <c r="A26"/>
  <c r="D31" i="10"/>
  <c r="C33"/>
  <c r="D33" s="1"/>
  <c r="A35"/>
  <c r="D48" i="9"/>
  <c r="A56"/>
  <c r="C50"/>
  <c r="D50" s="1"/>
  <c r="A32" i="12" l="1"/>
  <c r="C26"/>
  <c r="C35" i="10"/>
  <c r="D35" s="1"/>
  <c r="A37"/>
  <c r="C56" i="9"/>
  <c r="A58"/>
  <c r="D52"/>
  <c r="C51"/>
  <c r="D26" i="12" l="1"/>
  <c r="D28" s="1"/>
  <c r="C27"/>
  <c r="A34"/>
  <c r="C32"/>
  <c r="A43" i="10"/>
  <c r="C37"/>
  <c r="D56" i="9"/>
  <c r="C58"/>
  <c r="D58" s="1"/>
  <c r="A60"/>
  <c r="C34" i="12" l="1"/>
  <c r="D34" s="1"/>
  <c r="A36"/>
  <c r="D32"/>
  <c r="A45" i="10"/>
  <c r="C43"/>
  <c r="D37"/>
  <c r="D39" s="1"/>
  <c r="C38"/>
  <c r="C60" i="9"/>
  <c r="D60" s="1"/>
  <c r="A62"/>
  <c r="C36" i="12" l="1"/>
  <c r="A38"/>
  <c r="D43" i="10"/>
  <c r="A47"/>
  <c r="C45"/>
  <c r="D45" s="1"/>
  <c r="A68" i="9"/>
  <c r="C62"/>
  <c r="D62" s="1"/>
  <c r="D64" s="1"/>
  <c r="D36" i="12" l="1"/>
  <c r="A44"/>
  <c r="C38"/>
  <c r="D38" s="1"/>
  <c r="C47" i="10"/>
  <c r="D47" s="1"/>
  <c r="A49"/>
  <c r="C63" i="9"/>
  <c r="A70"/>
  <c r="C68"/>
  <c r="D40" i="12" l="1"/>
  <c r="A46"/>
  <c r="C44"/>
  <c r="C39"/>
  <c r="A55" i="10"/>
  <c r="C49"/>
  <c r="D68" i="9"/>
  <c r="A72"/>
  <c r="C70"/>
  <c r="D70" s="1"/>
  <c r="A48" i="12" l="1"/>
  <c r="C46"/>
  <c r="D46" s="1"/>
  <c r="D44"/>
  <c r="D49" i="10"/>
  <c r="D51" s="1"/>
  <c r="C50"/>
  <c r="A57"/>
  <c r="C55"/>
  <c r="A74" i="9"/>
  <c r="C72"/>
  <c r="D72" s="1"/>
  <c r="A50" i="12" l="1"/>
  <c r="C48"/>
  <c r="D48" s="1"/>
  <c r="A59" i="10"/>
  <c r="C57"/>
  <c r="D57" s="1"/>
  <c r="D55"/>
  <c r="A80" i="9"/>
  <c r="C74"/>
  <c r="D74" s="1"/>
  <c r="D76" s="1"/>
  <c r="A56" i="12" l="1"/>
  <c r="C50"/>
  <c r="D50" s="1"/>
  <c r="D52" s="1"/>
  <c r="A61" i="10"/>
  <c r="C59"/>
  <c r="D59" s="1"/>
  <c r="C75" i="9"/>
  <c r="C80"/>
  <c r="A82"/>
  <c r="C56" i="12" l="1"/>
  <c r="A58"/>
  <c r="C51"/>
  <c r="A67" i="10"/>
  <c r="C61"/>
  <c r="D61" s="1"/>
  <c r="D63" s="1"/>
  <c r="C82" i="9"/>
  <c r="D82" s="1"/>
  <c r="A84"/>
  <c r="D80"/>
  <c r="D56" i="12" l="1"/>
  <c r="C58"/>
  <c r="D58" s="1"/>
  <c r="A60"/>
  <c r="C67" i="10"/>
  <c r="A69"/>
  <c r="C62"/>
  <c r="C84" i="9"/>
  <c r="A86"/>
  <c r="C60" i="12" l="1"/>
  <c r="D60" s="1"/>
  <c r="A62"/>
  <c r="D67" i="10"/>
  <c r="C69"/>
  <c r="D69" s="1"/>
  <c r="A71"/>
  <c r="A92" i="9"/>
  <c r="C86"/>
  <c r="D86" s="1"/>
  <c r="D84"/>
  <c r="A68" i="12" l="1"/>
  <c r="C62"/>
  <c r="C71" i="10"/>
  <c r="D71" s="1"/>
  <c r="A73"/>
  <c r="A94" i="9"/>
  <c r="C92"/>
  <c r="C87"/>
  <c r="D88"/>
  <c r="D62" i="12" l="1"/>
  <c r="D64" s="1"/>
  <c r="C63"/>
  <c r="A70"/>
  <c r="C68"/>
  <c r="A79" i="10"/>
  <c r="C73"/>
  <c r="A96" i="9"/>
  <c r="C94"/>
  <c r="D94" s="1"/>
  <c r="D92"/>
  <c r="A72" i="12" l="1"/>
  <c r="C70"/>
  <c r="D70" s="1"/>
  <c r="D68"/>
  <c r="D73" i="10"/>
  <c r="D75" s="1"/>
  <c r="C74"/>
  <c r="A81"/>
  <c r="C79"/>
  <c r="A98" i="9"/>
  <c r="C96"/>
  <c r="A74" i="12" l="1"/>
  <c r="A80" s="1"/>
  <c r="C72"/>
  <c r="A83" i="10"/>
  <c r="C81"/>
  <c r="D81" s="1"/>
  <c r="D79"/>
  <c r="A104" i="9"/>
  <c r="C98"/>
  <c r="D98" s="1"/>
  <c r="D96"/>
  <c r="C80" i="12" l="1"/>
  <c r="A82"/>
  <c r="D72"/>
  <c r="C74"/>
  <c r="D74" s="1"/>
  <c r="A85" i="10"/>
  <c r="C83"/>
  <c r="C104" i="9"/>
  <c r="A106"/>
  <c r="C99"/>
  <c r="D100"/>
  <c r="D80" i="12" l="1"/>
  <c r="C82"/>
  <c r="D82" s="1"/>
  <c r="A84"/>
  <c r="C75"/>
  <c r="D76"/>
  <c r="D83" i="10"/>
  <c r="A91"/>
  <c r="C85"/>
  <c r="D85" s="1"/>
  <c r="D104" i="9"/>
  <c r="C106"/>
  <c r="D106" s="1"/>
  <c r="A108"/>
  <c r="C84" i="12" l="1"/>
  <c r="C86"/>
  <c r="D86" s="1"/>
  <c r="C91" i="10"/>
  <c r="A93"/>
  <c r="C86"/>
  <c r="D87"/>
  <c r="C108" i="9"/>
  <c r="D108" s="1"/>
  <c r="A110"/>
  <c r="D84" i="12" l="1"/>
  <c r="D88" s="1"/>
  <c r="C87"/>
  <c r="D91" i="10"/>
  <c r="C93"/>
  <c r="D93" s="1"/>
  <c r="A95"/>
  <c r="A116" i="9"/>
  <c r="C110"/>
  <c r="C95" i="10" l="1"/>
  <c r="D95" s="1"/>
  <c r="A97"/>
  <c r="C97" s="1"/>
  <c r="D97" s="1"/>
  <c r="D110" i="9"/>
  <c r="D112" s="1"/>
  <c r="C111"/>
  <c r="A118"/>
  <c r="C116"/>
  <c r="D98" i="12" l="1"/>
  <c r="D91"/>
  <c r="D99" i="10"/>
  <c r="C98"/>
  <c r="D105" s="1"/>
  <c r="D116" i="9"/>
  <c r="A120"/>
  <c r="C118"/>
  <c r="D118" s="1"/>
  <c r="D102" i="10" l="1"/>
  <c r="A122" i="9"/>
  <c r="C120"/>
  <c r="D120" s="1"/>
  <c r="D109" i="10" l="1"/>
  <c r="A128" i="9"/>
  <c r="C122"/>
  <c r="D122" s="1"/>
  <c r="D124" s="1"/>
  <c r="C123" l="1"/>
  <c r="C128"/>
  <c r="A130"/>
  <c r="C130" l="1"/>
  <c r="D130" s="1"/>
  <c r="A132"/>
  <c r="D128"/>
  <c r="C132" l="1"/>
  <c r="A134"/>
  <c r="C134" s="1"/>
  <c r="D134" l="1"/>
  <c r="D132"/>
  <c r="C135"/>
  <c r="D141" s="1"/>
  <c r="D136" l="1"/>
  <c r="D145"/>
  <c r="D138"/>
  <c r="F132" i="7" l="1"/>
  <c r="F130"/>
  <c r="F128"/>
  <c r="F122"/>
  <c r="F120"/>
  <c r="F118"/>
  <c r="F116"/>
  <c r="F110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56"/>
  <c r="F50"/>
  <c r="F48"/>
  <c r="F46"/>
  <c r="F44"/>
  <c r="F38"/>
  <c r="F36"/>
  <c r="F34"/>
  <c r="F32"/>
  <c r="F26"/>
  <c r="F24"/>
  <c r="F22"/>
  <c r="A144"/>
  <c r="F134" i="6"/>
  <c r="F132"/>
  <c r="F130"/>
  <c r="F128"/>
  <c r="F136" s="1"/>
  <c r="F122"/>
  <c r="F120"/>
  <c r="F118"/>
  <c r="F116"/>
  <c r="F124" s="1"/>
  <c r="F110"/>
  <c r="F108"/>
  <c r="F106"/>
  <c r="F104"/>
  <c r="F112" s="1"/>
  <c r="F98"/>
  <c r="F96"/>
  <c r="F94"/>
  <c r="F92"/>
  <c r="F100" s="1"/>
  <c r="F86"/>
  <c r="F84"/>
  <c r="F82"/>
  <c r="F80"/>
  <c r="F88" s="1"/>
  <c r="F74"/>
  <c r="F72"/>
  <c r="F70"/>
  <c r="F68"/>
  <c r="F76" s="1"/>
  <c r="F62"/>
  <c r="F60"/>
  <c r="F58"/>
  <c r="F56"/>
  <c r="F64" s="1"/>
  <c r="F50"/>
  <c r="F48"/>
  <c r="F46"/>
  <c r="F44"/>
  <c r="F52" s="1"/>
  <c r="F38"/>
  <c r="F36"/>
  <c r="F34"/>
  <c r="F32"/>
  <c r="F40" s="1"/>
  <c r="F26"/>
  <c r="F24"/>
  <c r="F22"/>
  <c r="F28" s="1"/>
  <c r="F16"/>
  <c r="A144"/>
  <c r="A13" i="3"/>
  <c r="F132"/>
  <c r="F130"/>
  <c r="F128"/>
  <c r="F122"/>
  <c r="F120"/>
  <c r="F118"/>
  <c r="F116"/>
  <c r="F110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56"/>
  <c r="F50"/>
  <c r="F48"/>
  <c r="F46"/>
  <c r="F44"/>
  <c r="F38"/>
  <c r="F36"/>
  <c r="F34"/>
  <c r="F32"/>
  <c r="F26"/>
  <c r="F24"/>
  <c r="F22"/>
  <c r="F7" i="4" l="1"/>
  <c r="D27" i="1" l="1"/>
  <c r="D26" s="1"/>
  <c r="E26"/>
  <c r="F26" l="1"/>
  <c r="C61" i="14" s="1"/>
  <c r="L43" i="8"/>
  <c r="K43"/>
  <c r="J43"/>
  <c r="I43"/>
  <c r="H43"/>
  <c r="G43"/>
  <c r="F43"/>
  <c r="E43"/>
  <c r="D43"/>
  <c r="D42"/>
  <c r="M40"/>
  <c r="L40"/>
  <c r="K40"/>
  <c r="J40"/>
  <c r="I40"/>
  <c r="H40"/>
  <c r="G40"/>
  <c r="F40"/>
  <c r="E40"/>
  <c r="D40"/>
  <c r="D140" i="7"/>
  <c r="A13"/>
  <c r="C13" s="1"/>
  <c r="E10" i="1"/>
  <c r="D10"/>
  <c r="C33" i="8"/>
  <c r="F10" i="1"/>
  <c r="G19" s="1"/>
  <c r="C25" i="8"/>
  <c r="C23"/>
  <c r="F16" i="7"/>
  <c r="C11"/>
  <c r="C9"/>
  <c r="C7"/>
  <c r="A20" i="6"/>
  <c r="C15"/>
  <c r="D142"/>
  <c r="C13"/>
  <c r="D13"/>
  <c r="C11"/>
  <c r="C9"/>
  <c r="C7"/>
  <c r="F136" i="3"/>
  <c r="F124"/>
  <c r="F112"/>
  <c r="F100"/>
  <c r="F88"/>
  <c r="F76"/>
  <c r="F52"/>
  <c r="F40"/>
  <c r="F28"/>
  <c r="D24" i="8" s="1"/>
  <c r="C63" i="14" s="1"/>
  <c r="F64" i="3"/>
  <c r="F16"/>
  <c r="D140"/>
  <c r="A20"/>
  <c r="C15"/>
  <c r="D142" s="1"/>
  <c r="C13"/>
  <c r="D13" s="1"/>
  <c r="C11"/>
  <c r="C9"/>
  <c r="C7"/>
  <c r="D7" i="4"/>
  <c r="D69"/>
  <c r="F13"/>
  <c r="F11"/>
  <c r="F9"/>
  <c r="F16"/>
  <c r="A11"/>
  <c r="F60"/>
  <c r="F58"/>
  <c r="F56"/>
  <c r="F50"/>
  <c r="F48"/>
  <c r="F46"/>
  <c r="F44"/>
  <c r="F38"/>
  <c r="F36"/>
  <c r="F34"/>
  <c r="F130" i="2"/>
  <c r="F128"/>
  <c r="F122"/>
  <c r="F120"/>
  <c r="F118"/>
  <c r="F116"/>
  <c r="F110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64"/>
  <c r="G24" i="8" s="1"/>
  <c r="F63" i="14" s="1"/>
  <c r="F56" i="2"/>
  <c r="F50"/>
  <c r="F48"/>
  <c r="F46"/>
  <c r="F44"/>
  <c r="F38"/>
  <c r="F36"/>
  <c r="F34"/>
  <c r="F40" s="1"/>
  <c r="F136"/>
  <c r="M24" i="8" s="1"/>
  <c r="L63" i="14" s="1"/>
  <c r="F124" i="2"/>
  <c r="L24" i="8" s="1"/>
  <c r="K63" i="14" s="1"/>
  <c r="F112" i="2"/>
  <c r="K24" i="8" s="1"/>
  <c r="J63" i="14" s="1"/>
  <c r="F100" i="2"/>
  <c r="J24" i="8" s="1"/>
  <c r="I63" i="14" s="1"/>
  <c r="F76" i="2"/>
  <c r="H24" i="8" s="1"/>
  <c r="G63" i="14" s="1"/>
  <c r="F52" i="2"/>
  <c r="F13"/>
  <c r="F16"/>
  <c r="B150"/>
  <c r="C11"/>
  <c r="C9"/>
  <c r="C7"/>
  <c r="F40" i="7"/>
  <c r="F52"/>
  <c r="F64"/>
  <c r="F76"/>
  <c r="F100"/>
  <c r="F112"/>
  <c r="F124"/>
  <c r="F136"/>
  <c r="F28"/>
  <c r="C14" i="6"/>
  <c r="A13" i="4"/>
  <c r="A32" s="1"/>
  <c r="C11"/>
  <c r="D11" s="1"/>
  <c r="C9"/>
  <c r="F52"/>
  <c r="F64"/>
  <c r="F40"/>
  <c r="F67"/>
  <c r="D16" i="6"/>
  <c r="A22"/>
  <c r="C22" s="1"/>
  <c r="D22" s="1"/>
  <c r="D140"/>
  <c r="F88" i="7"/>
  <c r="D25" i="18" l="1"/>
  <c r="C57" i="14"/>
  <c r="H27" i="18"/>
  <c r="H39" s="1"/>
  <c r="G62" i="14"/>
  <c r="G73" s="1"/>
  <c r="G74" s="1"/>
  <c r="K27" i="18"/>
  <c r="J62" i="14"/>
  <c r="J73" s="1"/>
  <c r="J74" s="1"/>
  <c r="M27" i="18"/>
  <c r="L62" i="14"/>
  <c r="L73" s="1"/>
  <c r="L74" s="1"/>
  <c r="J27" i="18"/>
  <c r="I62" i="14"/>
  <c r="I73" s="1"/>
  <c r="I74" s="1"/>
  <c r="L27" i="18"/>
  <c r="K62" i="14"/>
  <c r="K73" s="1"/>
  <c r="K74" s="1"/>
  <c r="G27" i="18"/>
  <c r="G38" s="1"/>
  <c r="F62" i="14"/>
  <c r="F73" s="1"/>
  <c r="F74" s="1"/>
  <c r="D27" i="18"/>
  <c r="D39" s="1"/>
  <c r="D38" s="1"/>
  <c r="C62" i="14"/>
  <c r="C66" s="1"/>
  <c r="H27" i="13"/>
  <c r="H26" s="1"/>
  <c r="H26" i="18"/>
  <c r="H29" s="1"/>
  <c r="K27" i="13"/>
  <c r="K26" s="1"/>
  <c r="K26" i="18"/>
  <c r="K29" s="1"/>
  <c r="M27" i="13"/>
  <c r="M26" s="1"/>
  <c r="M26" i="18"/>
  <c r="M29" s="1"/>
  <c r="J27" i="13"/>
  <c r="J26" s="1"/>
  <c r="J26" i="18"/>
  <c r="J29" s="1"/>
  <c r="L27" i="13"/>
  <c r="L26" s="1"/>
  <c r="L26" i="18"/>
  <c r="L29" s="1"/>
  <c r="G27" i="13"/>
  <c r="G26" s="1"/>
  <c r="G26" i="18"/>
  <c r="G29" s="1"/>
  <c r="D27" i="13"/>
  <c r="D26" s="1"/>
  <c r="D29" s="1"/>
  <c r="D26" i="18"/>
  <c r="G26" i="1"/>
  <c r="A13" i="2"/>
  <c r="G32" i="1"/>
  <c r="E21"/>
  <c r="D16" i="3"/>
  <c r="C14"/>
  <c r="F138"/>
  <c r="D48" i="8"/>
  <c r="C32" i="4"/>
  <c r="A34"/>
  <c r="D9"/>
  <c r="D16" s="1"/>
  <c r="C13"/>
  <c r="D13" s="1"/>
  <c r="A22" i="3"/>
  <c r="A24" i="6"/>
  <c r="A26" s="1"/>
  <c r="F21" i="1"/>
  <c r="C34" i="8"/>
  <c r="D34" s="1"/>
  <c r="F138" i="7"/>
  <c r="K48" i="8"/>
  <c r="M48"/>
  <c r="D20" i="3"/>
  <c r="F24" i="8"/>
  <c r="F138" i="6"/>
  <c r="C24"/>
  <c r="D24" s="1"/>
  <c r="J48" i="8"/>
  <c r="L48"/>
  <c r="C26" i="6"/>
  <c r="D26" s="1"/>
  <c r="A32"/>
  <c r="D20"/>
  <c r="G48" i="8"/>
  <c r="C15" i="7"/>
  <c r="D142" s="1"/>
  <c r="A20"/>
  <c r="D13"/>
  <c r="C14"/>
  <c r="F88" i="2"/>
  <c r="F138" s="1"/>
  <c r="E24" i="8"/>
  <c r="D63" i="14" s="1"/>
  <c r="D55" i="18" l="1"/>
  <c r="D20"/>
  <c r="E27"/>
  <c r="E39" s="1"/>
  <c r="E38" s="1"/>
  <c r="D62" i="14"/>
  <c r="D66" s="1"/>
  <c r="E63"/>
  <c r="L39" i="18"/>
  <c r="L38" s="1"/>
  <c r="J39"/>
  <c r="J38" s="1"/>
  <c r="M39"/>
  <c r="M38" s="1"/>
  <c r="K39"/>
  <c r="K38" s="1"/>
  <c r="F69" i="14"/>
  <c r="F70" s="1"/>
  <c r="F66"/>
  <c r="K69"/>
  <c r="K70" s="1"/>
  <c r="K66"/>
  <c r="I69"/>
  <c r="I70" s="1"/>
  <c r="I66"/>
  <c r="L69"/>
  <c r="L70" s="1"/>
  <c r="L66"/>
  <c r="J69"/>
  <c r="J70" s="1"/>
  <c r="J66"/>
  <c r="G69"/>
  <c r="G70" s="1"/>
  <c r="G66"/>
  <c r="D29" i="18"/>
  <c r="D60"/>
  <c r="E27" i="13"/>
  <c r="E26" s="1"/>
  <c r="E29" s="1"/>
  <c r="E26" i="18"/>
  <c r="D30" i="13"/>
  <c r="D38" s="1"/>
  <c r="D30" i="18"/>
  <c r="D35" s="1"/>
  <c r="A32" i="2"/>
  <c r="C15"/>
  <c r="D142" s="1"/>
  <c r="C13"/>
  <c r="F48" i="8"/>
  <c r="F27" i="13"/>
  <c r="F26" s="1"/>
  <c r="D16" i="7"/>
  <c r="I24" i="8"/>
  <c r="D32" i="4"/>
  <c r="C34"/>
  <c r="D34" s="1"/>
  <c r="A36"/>
  <c r="E34" i="8"/>
  <c r="E30" i="18" s="1"/>
  <c r="E35" s="1"/>
  <c r="D28" i="6"/>
  <c r="A24" i="3"/>
  <c r="C22"/>
  <c r="C27" i="6"/>
  <c r="C32"/>
  <c r="A34"/>
  <c r="D20" i="7"/>
  <c r="A22"/>
  <c r="H48" i="8"/>
  <c r="E48"/>
  <c r="H63" i="14" l="1"/>
  <c r="F27" i="18"/>
  <c r="E62" i="14"/>
  <c r="E29" i="18"/>
  <c r="D13" i="2"/>
  <c r="D16" s="1"/>
  <c r="C14"/>
  <c r="C32"/>
  <c r="D32" s="1"/>
  <c r="A34"/>
  <c r="I48" i="8"/>
  <c r="I27" i="13"/>
  <c r="I26" s="1"/>
  <c r="F34" i="8"/>
  <c r="F30" i="18" s="1"/>
  <c r="F35" s="1"/>
  <c r="E30" i="13"/>
  <c r="E38" s="1"/>
  <c r="A38" i="4"/>
  <c r="C36"/>
  <c r="D36" s="1"/>
  <c r="A26" i="3"/>
  <c r="C24"/>
  <c r="D24" s="1"/>
  <c r="D22"/>
  <c r="D32" i="6"/>
  <c r="C34"/>
  <c r="D34" s="1"/>
  <c r="A36"/>
  <c r="C22" i="7"/>
  <c r="D22" s="1"/>
  <c r="A24"/>
  <c r="F38" i="18" l="1"/>
  <c r="F26"/>
  <c r="E69" i="14"/>
  <c r="E70" s="1"/>
  <c r="E66"/>
  <c r="I27" i="18"/>
  <c r="H62" i="14"/>
  <c r="H73" s="1"/>
  <c r="H74" s="1"/>
  <c r="C34" i="2"/>
  <c r="D34" s="1"/>
  <c r="A36"/>
  <c r="G34" i="8"/>
  <c r="G30" i="18" s="1"/>
  <c r="G35" s="1"/>
  <c r="F30" i="13"/>
  <c r="F38" s="1"/>
  <c r="C38" i="4"/>
  <c r="A44"/>
  <c r="A32" i="3"/>
  <c r="C26"/>
  <c r="C36" i="6"/>
  <c r="A38"/>
  <c r="A26" i="7"/>
  <c r="C24"/>
  <c r="H69" i="14" l="1"/>
  <c r="H70" s="1"/>
  <c r="H66"/>
  <c r="I39" i="18"/>
  <c r="I38" s="1"/>
  <c r="I26"/>
  <c r="I29" s="1"/>
  <c r="C36" i="2"/>
  <c r="A38"/>
  <c r="G30" i="13"/>
  <c r="G38" s="1"/>
  <c r="H34" i="8"/>
  <c r="H30" i="18" s="1"/>
  <c r="H35" s="1"/>
  <c r="A46" i="4"/>
  <c r="C44"/>
  <c r="D38"/>
  <c r="D40" s="1"/>
  <c r="C39"/>
  <c r="C32" i="3"/>
  <c r="A34"/>
  <c r="D26"/>
  <c r="D28" s="1"/>
  <c r="C27"/>
  <c r="D36" i="6"/>
  <c r="C38"/>
  <c r="D38" s="1"/>
  <c r="A44"/>
  <c r="D24" i="7"/>
  <c r="A32"/>
  <c r="C26"/>
  <c r="D26" s="1"/>
  <c r="D36" i="2" l="1"/>
  <c r="A44"/>
  <c r="C38"/>
  <c r="D38" s="1"/>
  <c r="I34" i="8"/>
  <c r="I30" i="18" s="1"/>
  <c r="I35" s="1"/>
  <c r="H30" i="13"/>
  <c r="H38" s="1"/>
  <c r="C46" i="4"/>
  <c r="D46" s="1"/>
  <c r="A48"/>
  <c r="D44"/>
  <c r="D32" i="3"/>
  <c r="C34"/>
  <c r="D34" s="1"/>
  <c r="A36"/>
  <c r="C39" i="6"/>
  <c r="A46"/>
  <c r="C44"/>
  <c r="D40"/>
  <c r="C27" i="7"/>
  <c r="D25" i="8" s="1"/>
  <c r="C32" i="7"/>
  <c r="D32" s="1"/>
  <c r="A34"/>
  <c r="D28"/>
  <c r="D14" i="18" l="1"/>
  <c r="D36" s="1"/>
  <c r="D14" i="13"/>
  <c r="D37" s="1"/>
  <c r="A46" i="2"/>
  <c r="C44"/>
  <c r="D44" s="1"/>
  <c r="D40"/>
  <c r="C39"/>
  <c r="J34" i="8"/>
  <c r="J30" i="18" s="1"/>
  <c r="J35" s="1"/>
  <c r="I30" i="13"/>
  <c r="I38" s="1"/>
  <c r="C48" i="4"/>
  <c r="A50"/>
  <c r="D49" i="8"/>
  <c r="D47" s="1"/>
  <c r="A38" i="3"/>
  <c r="C36"/>
  <c r="D36" s="1"/>
  <c r="C46" i="6"/>
  <c r="D46" s="1"/>
  <c r="A48"/>
  <c r="D44"/>
  <c r="A36" i="7"/>
  <c r="C34"/>
  <c r="D34" s="1"/>
  <c r="D34" i="13" l="1"/>
  <c r="D36" s="1"/>
  <c r="D32" i="18"/>
  <c r="D34" s="1"/>
  <c r="C46" i="2"/>
  <c r="D46" s="1"/>
  <c r="A48"/>
  <c r="K34" i="8"/>
  <c r="K30" i="18" s="1"/>
  <c r="K35" s="1"/>
  <c r="J30" i="13"/>
  <c r="J38" s="1"/>
  <c r="C50" i="4"/>
  <c r="D50" s="1"/>
  <c r="A56"/>
  <c r="D48"/>
  <c r="D52" s="1"/>
  <c r="C51"/>
  <c r="D23" i="8"/>
  <c r="C38" i="3"/>
  <c r="A44"/>
  <c r="C48" i="6"/>
  <c r="A50"/>
  <c r="C36" i="7"/>
  <c r="D36" s="1"/>
  <c r="A38"/>
  <c r="C48" i="2" l="1"/>
  <c r="D48" s="1"/>
  <c r="A50"/>
  <c r="L34" i="8"/>
  <c r="L30" i="18" s="1"/>
  <c r="L35" s="1"/>
  <c r="K30" i="13"/>
  <c r="K38" s="1"/>
  <c r="C56" i="4"/>
  <c r="A58"/>
  <c r="C44" i="3"/>
  <c r="A46"/>
  <c r="D38"/>
  <c r="D40" s="1"/>
  <c r="C39"/>
  <c r="D48" i="6"/>
  <c r="C51"/>
  <c r="C50"/>
  <c r="D50" s="1"/>
  <c r="A56"/>
  <c r="A44" i="7"/>
  <c r="C38"/>
  <c r="C50" i="2" l="1"/>
  <c r="A56"/>
  <c r="M34" i="8"/>
  <c r="L30" i="13"/>
  <c r="L38" s="1"/>
  <c r="D56" i="4"/>
  <c r="C58"/>
  <c r="D58" s="1"/>
  <c r="A60"/>
  <c r="D44" i="3"/>
  <c r="A48"/>
  <c r="C46"/>
  <c r="D46" s="1"/>
  <c r="A58" i="6"/>
  <c r="C56"/>
  <c r="D52"/>
  <c r="C44" i="7"/>
  <c r="D44" s="1"/>
  <c r="A46"/>
  <c r="D38"/>
  <c r="D40" s="1"/>
  <c r="C39"/>
  <c r="E25" i="8" s="1"/>
  <c r="E14" i="18" l="1"/>
  <c r="E36" s="1"/>
  <c r="M30" i="13"/>
  <c r="M38" s="1"/>
  <c r="M30" i="18"/>
  <c r="M35" s="1"/>
  <c r="E14" i="13"/>
  <c r="E37" s="1"/>
  <c r="D50" i="2"/>
  <c r="D52" s="1"/>
  <c r="C51"/>
  <c r="A58"/>
  <c r="C56"/>
  <c r="D56" s="1"/>
  <c r="A62" i="4"/>
  <c r="C62" s="1"/>
  <c r="D62" s="1"/>
  <c r="C60"/>
  <c r="D60" s="1"/>
  <c r="D64" s="1"/>
  <c r="C48" i="3"/>
  <c r="D48" s="1"/>
  <c r="A50"/>
  <c r="C58" i="6"/>
  <c r="D58" s="1"/>
  <c r="A60"/>
  <c r="D56"/>
  <c r="E23" i="8"/>
  <c r="E49"/>
  <c r="E47" s="1"/>
  <c r="C46" i="7"/>
  <c r="D46" s="1"/>
  <c r="A48"/>
  <c r="E32" i="18" l="1"/>
  <c r="E34" s="1"/>
  <c r="E34" i="13"/>
  <c r="E36" s="1"/>
  <c r="C58" i="2"/>
  <c r="D58" s="1"/>
  <c r="A60"/>
  <c r="C63" i="4"/>
  <c r="D70" s="1"/>
  <c r="D67" s="1"/>
  <c r="C50" i="3"/>
  <c r="D50" s="1"/>
  <c r="D52" s="1"/>
  <c r="A56"/>
  <c r="C60" i="6"/>
  <c r="A62"/>
  <c r="A50" i="7"/>
  <c r="C48"/>
  <c r="C60" i="2" l="1"/>
  <c r="A62"/>
  <c r="C51" i="3"/>
  <c r="A58"/>
  <c r="C56"/>
  <c r="C62" i="6"/>
  <c r="D62" s="1"/>
  <c r="A68"/>
  <c r="D60"/>
  <c r="D64" s="1"/>
  <c r="C63"/>
  <c r="C50" i="7"/>
  <c r="D50" s="1"/>
  <c r="A56"/>
  <c r="D48"/>
  <c r="D60" i="2" l="1"/>
  <c r="A68"/>
  <c r="C62"/>
  <c r="D62" s="1"/>
  <c r="C51" i="7"/>
  <c r="F25" i="8" s="1"/>
  <c r="F14" i="18" s="1"/>
  <c r="F36" s="1"/>
  <c r="D56" i="3"/>
  <c r="C58"/>
  <c r="D58" s="1"/>
  <c r="A60"/>
  <c r="A70" i="6"/>
  <c r="C68"/>
  <c r="D52" i="7"/>
  <c r="C56"/>
  <c r="D56" s="1"/>
  <c r="A58"/>
  <c r="F32" i="18" l="1"/>
  <c r="F34" s="1"/>
  <c r="D64" i="2"/>
  <c r="A70"/>
  <c r="C68"/>
  <c r="D68" s="1"/>
  <c r="C63"/>
  <c r="F23" i="8"/>
  <c r="F14" i="13"/>
  <c r="F49" i="8"/>
  <c r="F47" s="1"/>
  <c r="A62" i="3"/>
  <c r="C60"/>
  <c r="C70" i="6"/>
  <c r="D70" s="1"/>
  <c r="A72"/>
  <c r="D68"/>
  <c r="A60" i="7"/>
  <c r="C58"/>
  <c r="D58" s="1"/>
  <c r="A72" i="2" l="1"/>
  <c r="C70"/>
  <c r="D70" s="1"/>
  <c r="F37" i="13"/>
  <c r="F34"/>
  <c r="F36" s="1"/>
  <c r="D60" i="3"/>
  <c r="A68"/>
  <c r="C62"/>
  <c r="D62" s="1"/>
  <c r="A74" i="6"/>
  <c r="C72"/>
  <c r="A62" i="7"/>
  <c r="C60"/>
  <c r="C72" i="2" l="1"/>
  <c r="D72" s="1"/>
  <c r="A74"/>
  <c r="C63" i="3"/>
  <c r="A70"/>
  <c r="C68"/>
  <c r="D64"/>
  <c r="D72" i="6"/>
  <c r="A80"/>
  <c r="C74"/>
  <c r="D74" s="1"/>
  <c r="C62" i="7"/>
  <c r="D62" s="1"/>
  <c r="A68"/>
  <c r="D60"/>
  <c r="A80" i="2" l="1"/>
  <c r="C74"/>
  <c r="D64" i="7"/>
  <c r="D68" i="3"/>
  <c r="C70"/>
  <c r="D70" s="1"/>
  <c r="A72"/>
  <c r="C75" i="6"/>
  <c r="C80"/>
  <c r="A82"/>
  <c r="D76"/>
  <c r="C63" i="7"/>
  <c r="A70"/>
  <c r="C68"/>
  <c r="D68" s="1"/>
  <c r="A82" i="2" l="1"/>
  <c r="C80"/>
  <c r="D80" s="1"/>
  <c r="D74"/>
  <c r="D76" s="1"/>
  <c r="C75"/>
  <c r="G25" i="8"/>
  <c r="G14" i="18" s="1"/>
  <c r="G36" s="1"/>
  <c r="C72" i="3"/>
  <c r="D72" s="1"/>
  <c r="A74"/>
  <c r="D80" i="6"/>
  <c r="C82"/>
  <c r="D82" s="1"/>
  <c r="A84"/>
  <c r="C70" i="7"/>
  <c r="D70" s="1"/>
  <c r="A72"/>
  <c r="G32" i="18" l="1"/>
  <c r="C82" i="2"/>
  <c r="D82" s="1"/>
  <c r="A84"/>
  <c r="G49" i="8"/>
  <c r="G47" s="1"/>
  <c r="G14" i="13"/>
  <c r="G23" i="8"/>
  <c r="C74" i="3"/>
  <c r="D74" s="1"/>
  <c r="D76" s="1"/>
  <c r="A80"/>
  <c r="C84" i="6"/>
  <c r="D84" s="1"/>
  <c r="A86"/>
  <c r="A74" i="7"/>
  <c r="C72"/>
  <c r="D72" s="1"/>
  <c r="A86" i="2" l="1"/>
  <c r="C84"/>
  <c r="D84" s="1"/>
  <c r="G37" i="13"/>
  <c r="G34"/>
  <c r="C75" i="3"/>
  <c r="C80"/>
  <c r="A82"/>
  <c r="C86" i="6"/>
  <c r="A92"/>
  <c r="A80" i="7"/>
  <c r="C74"/>
  <c r="A92" i="2" l="1"/>
  <c r="C86"/>
  <c r="D80" i="3"/>
  <c r="C82"/>
  <c r="D82" s="1"/>
  <c r="A84"/>
  <c r="C92" i="6"/>
  <c r="A94"/>
  <c r="D86"/>
  <c r="D88" s="1"/>
  <c r="C87"/>
  <c r="A82" i="7"/>
  <c r="C80"/>
  <c r="D80" s="1"/>
  <c r="C75"/>
  <c r="H25" i="8" s="1"/>
  <c r="D74" i="7"/>
  <c r="D76" s="1"/>
  <c r="H14" i="13" l="1"/>
  <c r="H34" s="1"/>
  <c r="H14" i="18"/>
  <c r="H36" s="1"/>
  <c r="A94" i="2"/>
  <c r="C92"/>
  <c r="D92" s="1"/>
  <c r="D86"/>
  <c r="D88" s="1"/>
  <c r="C87"/>
  <c r="H37" i="13"/>
  <c r="A86" i="3"/>
  <c r="C84"/>
  <c r="D92" i="6"/>
  <c r="C94"/>
  <c r="D94" s="1"/>
  <c r="A96"/>
  <c r="H49" i="8"/>
  <c r="H47" s="1"/>
  <c r="H23"/>
  <c r="C82" i="7"/>
  <c r="D82" s="1"/>
  <c r="A84"/>
  <c r="H32" i="18" l="1"/>
  <c r="C94" i="2"/>
  <c r="D94" s="1"/>
  <c r="A96"/>
  <c r="D84" i="3"/>
  <c r="C86"/>
  <c r="D86" s="1"/>
  <c r="A92"/>
  <c r="A98" i="6"/>
  <c r="C96"/>
  <c r="A86" i="7"/>
  <c r="C84"/>
  <c r="A98" i="2" l="1"/>
  <c r="C96"/>
  <c r="D96" s="1"/>
  <c r="C87" i="3"/>
  <c r="A94"/>
  <c r="C92"/>
  <c r="D88"/>
  <c r="D96" i="6"/>
  <c r="C99"/>
  <c r="C98"/>
  <c r="D98" s="1"/>
  <c r="A104"/>
  <c r="C86" i="7"/>
  <c r="D86" s="1"/>
  <c r="A92"/>
  <c r="D84"/>
  <c r="D88" s="1"/>
  <c r="C98" i="2" l="1"/>
  <c r="A104"/>
  <c r="D92" i="3"/>
  <c r="C94"/>
  <c r="D94" s="1"/>
  <c r="A96"/>
  <c r="A106" i="6"/>
  <c r="C104"/>
  <c r="D100"/>
  <c r="C87" i="7"/>
  <c r="I25" i="8" s="1"/>
  <c r="A94" i="7"/>
  <c r="C92"/>
  <c r="D92" s="1"/>
  <c r="I14" i="13" l="1"/>
  <c r="I34" s="1"/>
  <c r="I14" i="18"/>
  <c r="I36" s="1"/>
  <c r="D98" i="2"/>
  <c r="D100" s="1"/>
  <c r="C99"/>
  <c r="C104"/>
  <c r="D104" s="1"/>
  <c r="A106"/>
  <c r="I37" i="13"/>
  <c r="I49" i="8"/>
  <c r="I47" s="1"/>
  <c r="C96" i="3"/>
  <c r="A98"/>
  <c r="C106" i="6"/>
  <c r="D106" s="1"/>
  <c r="A108"/>
  <c r="D104"/>
  <c r="A96" i="7"/>
  <c r="C94"/>
  <c r="D94" s="1"/>
  <c r="I32" i="18" l="1"/>
  <c r="C106" i="2"/>
  <c r="D106" s="1"/>
  <c r="A108"/>
  <c r="I23" i="8"/>
  <c r="D96" i="3"/>
  <c r="C98"/>
  <c r="D98" s="1"/>
  <c r="A104"/>
  <c r="A110" i="6"/>
  <c r="C108"/>
  <c r="A98" i="7"/>
  <c r="C96"/>
  <c r="D96" s="1"/>
  <c r="A110" i="2" l="1"/>
  <c r="C108"/>
  <c r="D108" s="1"/>
  <c r="D100" i="3"/>
  <c r="A106"/>
  <c r="C104"/>
  <c r="C99"/>
  <c r="D108" i="6"/>
  <c r="C111"/>
  <c r="C110"/>
  <c r="D110" s="1"/>
  <c r="A116"/>
  <c r="C98" i="7"/>
  <c r="A104"/>
  <c r="A116" i="2" l="1"/>
  <c r="C110"/>
  <c r="C106" i="3"/>
  <c r="D106" s="1"/>
  <c r="A108"/>
  <c r="D104"/>
  <c r="C116" i="6"/>
  <c r="A118"/>
  <c r="D112"/>
  <c r="D98" i="7"/>
  <c r="D100" s="1"/>
  <c r="C99"/>
  <c r="J25" i="8" s="1"/>
  <c r="A106" i="7"/>
  <c r="C104"/>
  <c r="D104" s="1"/>
  <c r="J14" i="13" l="1"/>
  <c r="J34" s="1"/>
  <c r="J36" s="1"/>
  <c r="J14" i="18"/>
  <c r="J36" s="1"/>
  <c r="C116" i="2"/>
  <c r="D116" s="1"/>
  <c r="A118"/>
  <c r="D110"/>
  <c r="D112" s="1"/>
  <c r="C111"/>
  <c r="J37" i="13"/>
  <c r="C108" i="3"/>
  <c r="A110"/>
  <c r="A120" i="6"/>
  <c r="C118"/>
  <c r="D118" s="1"/>
  <c r="D116"/>
  <c r="A108" i="7"/>
  <c r="C106"/>
  <c r="D106" s="1"/>
  <c r="J23" i="8"/>
  <c r="J49"/>
  <c r="J47" s="1"/>
  <c r="J32" i="18" l="1"/>
  <c r="J34" s="1"/>
  <c r="A120" i="2"/>
  <c r="C118"/>
  <c r="D118" s="1"/>
  <c r="C110" i="3"/>
  <c r="D110" s="1"/>
  <c r="A116"/>
  <c r="D108"/>
  <c r="D112" s="1"/>
  <c r="A122" i="6"/>
  <c r="C120"/>
  <c r="D120" s="1"/>
  <c r="A110" i="7"/>
  <c r="C108"/>
  <c r="D108" s="1"/>
  <c r="C120" i="2" l="1"/>
  <c r="D120" s="1"/>
  <c r="A122"/>
  <c r="C111" i="3"/>
  <c r="A118"/>
  <c r="C116"/>
  <c r="C122" i="6"/>
  <c r="D122" s="1"/>
  <c r="D124" s="1"/>
  <c r="A128"/>
  <c r="C123"/>
  <c r="A116" i="7"/>
  <c r="C110"/>
  <c r="D110" s="1"/>
  <c r="D112" s="1"/>
  <c r="C122" i="2" l="1"/>
  <c r="A128"/>
  <c r="D116" i="3"/>
  <c r="C118"/>
  <c r="D118" s="1"/>
  <c r="A120"/>
  <c r="C128" i="6"/>
  <c r="A130"/>
  <c r="A118" i="7"/>
  <c r="C116"/>
  <c r="D116" s="1"/>
  <c r="C111"/>
  <c r="K25" i="8" s="1"/>
  <c r="K14" i="13" l="1"/>
  <c r="K14" i="18"/>
  <c r="K36" s="1"/>
  <c r="D122" i="2"/>
  <c r="D124" s="1"/>
  <c r="C123"/>
  <c r="C128"/>
  <c r="D128" s="1"/>
  <c r="A130"/>
  <c r="K37" i="13"/>
  <c r="K34"/>
  <c r="K36" s="1"/>
  <c r="C120" i="3"/>
  <c r="D120" s="1"/>
  <c r="A122"/>
  <c r="A132" i="6"/>
  <c r="C130"/>
  <c r="D130" s="1"/>
  <c r="D128"/>
  <c r="K23" i="8"/>
  <c r="K49"/>
  <c r="K47" s="1"/>
  <c r="C118" i="7"/>
  <c r="D118" s="1"/>
  <c r="A120"/>
  <c r="K32" i="18" l="1"/>
  <c r="K34" s="1"/>
  <c r="C130" i="2"/>
  <c r="D130" s="1"/>
  <c r="A132"/>
  <c r="C122" i="3"/>
  <c r="D122" s="1"/>
  <c r="D124" s="1"/>
  <c r="A128"/>
  <c r="A134" i="6"/>
  <c r="C134" s="1"/>
  <c r="D134" s="1"/>
  <c r="C132"/>
  <c r="D132" s="1"/>
  <c r="A122" i="7"/>
  <c r="C120"/>
  <c r="D120" s="1"/>
  <c r="A134" i="2" l="1"/>
  <c r="C134" s="1"/>
  <c r="D134" s="1"/>
  <c r="C132"/>
  <c r="D132" s="1"/>
  <c r="C123" i="3"/>
  <c r="D136" i="6"/>
  <c r="C128" i="3"/>
  <c r="A130"/>
  <c r="C135" i="6"/>
  <c r="D141" s="1"/>
  <c r="A128" i="7"/>
  <c r="C122"/>
  <c r="D122" s="1"/>
  <c r="D124" s="1"/>
  <c r="C135" i="2" l="1"/>
  <c r="D141" s="1"/>
  <c r="D145" s="1"/>
  <c r="D136"/>
  <c r="C130" i="3"/>
  <c r="D130" s="1"/>
  <c r="A132"/>
  <c r="D128"/>
  <c r="D145" i="6"/>
  <c r="D138"/>
  <c r="A130" i="7"/>
  <c r="C128"/>
  <c r="D128" s="1"/>
  <c r="C123"/>
  <c r="L25" i="8" s="1"/>
  <c r="L14" i="13" l="1"/>
  <c r="L37" s="1"/>
  <c r="L14" i="18"/>
  <c r="L36" s="1"/>
  <c r="D138" i="2"/>
  <c r="C132" i="3"/>
  <c r="A134"/>
  <c r="C134" s="1"/>
  <c r="D134" s="1"/>
  <c r="L49" i="8"/>
  <c r="L47" s="1"/>
  <c r="L23"/>
  <c r="A132" i="7"/>
  <c r="C130"/>
  <c r="D130" s="1"/>
  <c r="L34" i="13" l="1"/>
  <c r="L36" s="1"/>
  <c r="L32" i="18"/>
  <c r="L34" s="1"/>
  <c r="D132" i="3"/>
  <c r="D136" s="1"/>
  <c r="C135"/>
  <c r="A134" i="7"/>
  <c r="C134" s="1"/>
  <c r="D134" s="1"/>
  <c r="C132"/>
  <c r="D141" i="3" l="1"/>
  <c r="D145" s="1"/>
  <c r="C135" i="7"/>
  <c r="M25" i="8" s="1"/>
  <c r="D132" i="7"/>
  <c r="D136" s="1"/>
  <c r="M14" i="13" l="1"/>
  <c r="M34" s="1"/>
  <c r="M36" s="1"/>
  <c r="M14" i="18"/>
  <c r="M36" s="1"/>
  <c r="D138" i="3"/>
  <c r="D141" i="7"/>
  <c r="M37" i="13" l="1"/>
  <c r="M32" i="18"/>
  <c r="M34" s="1"/>
  <c r="M23" i="8"/>
  <c r="M49"/>
  <c r="M47" s="1"/>
  <c r="D145" i="7"/>
  <c r="D138"/>
  <c r="I12" i="15" l="1"/>
  <c r="G35" i="13" s="1"/>
  <c r="G36" s="1"/>
  <c r="F10"/>
  <c r="I33" i="18" l="1"/>
  <c r="I34" s="1"/>
  <c r="H33"/>
  <c r="H34" s="1"/>
  <c r="H35" i="13"/>
  <c r="H36" s="1"/>
  <c r="I35"/>
  <c r="I36" s="1"/>
  <c r="G33" i="18"/>
  <c r="G34" s="1"/>
  <c r="F9"/>
  <c r="F19"/>
  <c r="F19" i="13"/>
  <c r="F9"/>
  <c r="F18" s="1"/>
  <c r="F18" i="18" l="1"/>
  <c r="F53" s="1"/>
  <c r="F29"/>
  <c r="H47"/>
  <c r="H38"/>
</calcChain>
</file>

<file path=xl/sharedStrings.xml><?xml version="1.0" encoding="utf-8"?>
<sst xmlns="http://schemas.openxmlformats.org/spreadsheetml/2006/main" count="1336" uniqueCount="328">
  <si>
    <t>L.p</t>
  </si>
  <si>
    <t>Zadania realizowane przez wydział Komunikacji i Transportu</t>
  </si>
  <si>
    <t xml:space="preserve">Stadion w Chorzowie - „Zadaszenie widowni oraz niezbędna infrastruktura techniczna Stadionu Śląskiego w Chorzowie”. </t>
  </si>
  <si>
    <t>Muzeum Śląskie - "Budowa nowej siedziby Muzeum Śląskiego w Katowicach"</t>
  </si>
  <si>
    <t xml:space="preserve">Filharmonia Śląska - „Rozbudowa Filharmonii Śląskiej w Katowicach” </t>
  </si>
  <si>
    <t>GTL+Park - Objęcie akcji Wojewódzkiego Parku Kultury i Wypoczynku SA celem przedsięwzięć infrastrukturalnych oraz budowy kolejki linowej</t>
  </si>
  <si>
    <t xml:space="preserve">Muzeum Górnictwa Węglowego w Zabrzu: Skansen Królowa Luiza etap II - „Europejski Ośrodek Kultury Technicznej i Turystyki Przemysłowej – Skansen Królowa Luiza etap II” </t>
  </si>
  <si>
    <t xml:space="preserve">Górnośląski park Etnograficzny w Chorzowie - „Budowa obiektu wielofunkcyjnego (szkoleniowo-ekspozycyjnego) na terenie Górnośląskiego Parku Etnograficznego w Chorzowie” </t>
  </si>
  <si>
    <t>Nazwa zadania</t>
  </si>
  <si>
    <t>plan po zmianach</t>
  </si>
  <si>
    <t>Dział</t>
  </si>
  <si>
    <t>Przewidywane wykonanie</t>
  </si>
  <si>
    <t>Elfy+zakup pojazdów zmodernizowanych</t>
  </si>
  <si>
    <t>plan wg budżetu na 2011 r.</t>
  </si>
  <si>
    <t>w zł</t>
  </si>
  <si>
    <t>WYSOKOŚĆ ŚRODKÓW KREDYTOWYCH</t>
  </si>
  <si>
    <t>WYSOKOŚĆ OPROCENTOWANIA (realne)</t>
  </si>
  <si>
    <t xml:space="preserve">WYSOKOŚĆ ODSETEK </t>
  </si>
  <si>
    <t>Łącznie rata:</t>
  </si>
  <si>
    <t>I kwartał 2010</t>
  </si>
  <si>
    <t>II kwartał 2010</t>
  </si>
  <si>
    <t>III kwartał 2010</t>
  </si>
  <si>
    <t>IV kwartał 2010</t>
  </si>
  <si>
    <t>Odsetki:</t>
  </si>
  <si>
    <t>PROWIZJA 0,09%</t>
  </si>
  <si>
    <t>RAZEM w roku 2010:</t>
  </si>
  <si>
    <t>I kwartał 2012</t>
  </si>
  <si>
    <t>II kwartał 2012</t>
  </si>
  <si>
    <t>III kwartał 2012</t>
  </si>
  <si>
    <t>IV kwartał 2012</t>
  </si>
  <si>
    <t>RAZEM w roku 2012:</t>
  </si>
  <si>
    <t>I kwartał 2013</t>
  </si>
  <si>
    <t>II kwartał 2013</t>
  </si>
  <si>
    <t>III kwartał 2013</t>
  </si>
  <si>
    <t>IV kwartał 2013</t>
  </si>
  <si>
    <t>RAZEM w roku 2013:</t>
  </si>
  <si>
    <t>I kwartał 2014</t>
  </si>
  <si>
    <t>II kwartał 2014</t>
  </si>
  <si>
    <t>III kwartał 2014</t>
  </si>
  <si>
    <t>IV kwartał 2014</t>
  </si>
  <si>
    <t>RAZEM w roku 2014:</t>
  </si>
  <si>
    <t>I kwartał 2015</t>
  </si>
  <si>
    <t>II kwartał 2015</t>
  </si>
  <si>
    <t>III kwartał 2015</t>
  </si>
  <si>
    <t>IV kwartał 2015</t>
  </si>
  <si>
    <t>RAZEM w roku 2015:</t>
  </si>
  <si>
    <t>I kwartał 2016</t>
  </si>
  <si>
    <t>II kwartał 2016</t>
  </si>
  <si>
    <t>III kwartał 2016</t>
  </si>
  <si>
    <t>IV kwartał 2016</t>
  </si>
  <si>
    <t>RAZEM w roku 2016:</t>
  </si>
  <si>
    <t>I kwartał 2017</t>
  </si>
  <si>
    <t>II kwartał 2017</t>
  </si>
  <si>
    <t>III kwartał 2017</t>
  </si>
  <si>
    <t>IV kwartał 2017</t>
  </si>
  <si>
    <t>RAZEM w roku 2017:</t>
  </si>
  <si>
    <t>I kwartał 2018</t>
  </si>
  <si>
    <t>II kwartał 2018</t>
  </si>
  <si>
    <t>III kwartał 2018</t>
  </si>
  <si>
    <t>IV kwartał 2018</t>
  </si>
  <si>
    <t>RAZEM w roku 2018:</t>
  </si>
  <si>
    <t>I kwartał 2019</t>
  </si>
  <si>
    <t>II kwartał 2019</t>
  </si>
  <si>
    <t>III kwartał 2019</t>
  </si>
  <si>
    <t>IV kwartał 2019</t>
  </si>
  <si>
    <t>RAZEM w roku 2019:</t>
  </si>
  <si>
    <t>I kwartał 2020</t>
  </si>
  <si>
    <t>II kwartał 2020</t>
  </si>
  <si>
    <t>III kwartał 2020</t>
  </si>
  <si>
    <t>IV kwartał 2020</t>
  </si>
  <si>
    <t>RAZEM w roku 2020:</t>
  </si>
  <si>
    <t>ŁĄCZNE KOSZTY Z TYTUŁU KREDYTU:</t>
  </si>
  <si>
    <t>w tym:</t>
  </si>
  <si>
    <t>Kapitał kredytu</t>
  </si>
  <si>
    <t>odsetki</t>
  </si>
  <si>
    <t>prowizja</t>
  </si>
  <si>
    <t>RATA KWARTALNA:</t>
  </si>
  <si>
    <t>WIBOR 3M z dnia 12.05.2010</t>
  </si>
  <si>
    <t>Stawka:</t>
  </si>
  <si>
    <t>(najwyższa stawka z poprzedniego przetragu)</t>
  </si>
  <si>
    <t>ROZCHODY</t>
  </si>
  <si>
    <t>Łącznie rozchody:</t>
  </si>
  <si>
    <t>RAZEM w roku 2011:</t>
  </si>
  <si>
    <t>I kwartał 2011</t>
  </si>
  <si>
    <t>II kwartał 2011</t>
  </si>
  <si>
    <t>III kwartał 2011</t>
  </si>
  <si>
    <t>IV kwartał 2011</t>
  </si>
  <si>
    <t>Wartość szacunkowa zamówienia:</t>
  </si>
  <si>
    <t>KREDYT 120.200.000 zł z 2010 r.</t>
  </si>
  <si>
    <t>KREDYT 76.526.350 zł z 2010 r.</t>
  </si>
  <si>
    <t>KREDYT 70.000.000 zł z 2010 r.</t>
  </si>
  <si>
    <t>Lp</t>
  </si>
  <si>
    <t>Wyszczególnienie</t>
  </si>
  <si>
    <t>Dochody ogółem,  tego:</t>
  </si>
  <si>
    <t>a</t>
  </si>
  <si>
    <t xml:space="preserve"> dochody bieżące</t>
  </si>
  <si>
    <t>b</t>
  </si>
  <si>
    <t xml:space="preserve"> dochody majątkowe, w tym:</t>
  </si>
  <si>
    <t>c</t>
  </si>
  <si>
    <t xml:space="preserve">   ze sprzedaży majątku</t>
  </si>
  <si>
    <t>Wydatki bieżące (bez odsetek i prowizji od: kredytów i pożyczek oraz wyemitowanych papierów wartościowych), w tym:</t>
  </si>
  <si>
    <t xml:space="preserve"> na wynagrodzenia i składki od nich naliczane</t>
  </si>
  <si>
    <t xml:space="preserve"> związane z funkcjonowaniem organów JST</t>
  </si>
  <si>
    <t xml:space="preserve"> z tytułu gwarancji i poręczeń, w tym:</t>
  </si>
  <si>
    <t>d</t>
  </si>
  <si>
    <t xml:space="preserve">   gwarancje i poręczenia podlegające wyłączeniu z limitów spłaty zobowiązań z art. 243 ufp/169sufp</t>
  </si>
  <si>
    <t>e</t>
  </si>
  <si>
    <t xml:space="preserve"> rezerwa ogólna</t>
  </si>
  <si>
    <t>f</t>
  </si>
  <si>
    <t xml:space="preserve"> rezerwy celowe</t>
  </si>
  <si>
    <t>g</t>
  </si>
  <si>
    <t xml:space="preserve"> pozostałe wydatki bieżące </t>
  </si>
  <si>
    <t>h</t>
  </si>
  <si>
    <t xml:space="preserve"> wydatki bieżące objęte limitem art. 226 ust. 4 ufp</t>
  </si>
  <si>
    <t>Wynik budżetu po wykonaniu wydatków bieżących (bez obsługi długu) (1-2)</t>
  </si>
  <si>
    <t>Nadwyżka budżetowa z lat ubiegłych plus wolne środki, zgodnie z art.. 217 ufp, w tym</t>
  </si>
  <si>
    <t xml:space="preserve"> nadwyżka budżetowa z lat ubiegłych plus wolne środki, zgodnie z art.. 217 ufp, angażowane na pokrycie deficytu budżetu roku bieżącego</t>
  </si>
  <si>
    <t>Inne przychody niezwiązane z zaciąganiem długu</t>
  </si>
  <si>
    <t>Środki do dyspozycji (3+4+5)</t>
  </si>
  <si>
    <t>Spłata i obsługa długu, z tego:</t>
  </si>
  <si>
    <t>Inne rozchody (bez spłaty długu np. udzielane pożyczki)</t>
  </si>
  <si>
    <t>Środki do dyspozycji na wydatki majątkowe (6-7-8)</t>
  </si>
  <si>
    <t>Wydatki majątkowe, w tym:</t>
  </si>
  <si>
    <t xml:space="preserve"> wydatki majątkowe objęte limitem art. 226 ust.4 ufp</t>
  </si>
  <si>
    <t>Przychody (kredyty, pożyczki, emisje obligacji)</t>
  </si>
  <si>
    <t>Wynik finansowy budżetu (9-10+11)</t>
  </si>
  <si>
    <t>Kwota długu na koniec 2010</t>
  </si>
  <si>
    <t>Kwota długu na koniec 2011</t>
  </si>
  <si>
    <t>Kwota długu na koniec 2012</t>
  </si>
  <si>
    <t>Łączna kwota długu z tytułu kredytów</t>
  </si>
  <si>
    <t>(kredyty do 2020 r.)</t>
  </si>
  <si>
    <t>a) spłata rat kredytowych</t>
  </si>
  <si>
    <t>b) odsetki z tytułu kredytów</t>
  </si>
  <si>
    <t>c) prowizje</t>
  </si>
  <si>
    <t>Łączna kwota kredytów w 2010 r., w tym:</t>
  </si>
  <si>
    <t>Łączna kwota kredytów w 2011 r., w tym:</t>
  </si>
  <si>
    <t>Wykonanie</t>
  </si>
  <si>
    <t>Plan po zmianach</t>
  </si>
  <si>
    <t>różnica (w stosunku do planu po zmianach):</t>
  </si>
  <si>
    <t>Plan wg uchwały</t>
  </si>
  <si>
    <t>Lp.</t>
  </si>
  <si>
    <t xml:space="preserve"> rozchody z tytułu spłaty rat kapitałowych oraz wykupu papierów wartościowych</t>
  </si>
  <si>
    <t xml:space="preserve"> wydatki bieżące na obsługę długu</t>
  </si>
  <si>
    <t>ŚRODKI DO DYSPOZYCJI PO ROZLICZENIU KREDYTÓW</t>
  </si>
  <si>
    <t>Sebastian Krajewski</t>
  </si>
  <si>
    <t>sporządził:</t>
  </si>
  <si>
    <t>Łączna kwota kredytów w 2012 r., w tym:</t>
  </si>
  <si>
    <t>plan wg WPF na 2012 r.</t>
  </si>
  <si>
    <t>PIERWOTNA kwota długu z WPF</t>
  </si>
  <si>
    <t>x 31</t>
  </si>
  <si>
    <t>x 1</t>
  </si>
  <si>
    <t>Budowa Drogi Głównej Południowej na odcinku od DW 933 - ul. Pszczyńskiej w Jastrzębiu Zdroju do węzła autostrady A1 w Mszanie</t>
  </si>
  <si>
    <t>KREDYTY w roku budżetowym 2012</t>
  </si>
  <si>
    <t>KREDYTY w roku budżetowym 2011</t>
  </si>
  <si>
    <t>KREDYTY w roku budżetowym 2010</t>
  </si>
  <si>
    <t>KREDYT w roku budżetowym 2009</t>
  </si>
  <si>
    <t>Łączna kwota kredytów w 2013 r., w tym:</t>
  </si>
  <si>
    <t>KREDYTY w roku budżetowym 2013</t>
  </si>
  <si>
    <t>PROGNOZA OPROCENTOWANIA REALNEGO KREDYTU 
na lata 2011-2020</t>
  </si>
  <si>
    <t>PROGNOZA OPROCENTOWANIA REALNEGO KREDYTU 
na lata 2010-2020</t>
  </si>
  <si>
    <t>PROGNOZA OPROCENTOWANIA REALNEGO KREDYTU 
na lata 2012-2020</t>
  </si>
  <si>
    <t>PROGNOZA OPROCENTOWANIA REALNEGO KREDYTU 
na lata 2013-2020</t>
  </si>
  <si>
    <t>ELFy - "Dostawa Elektrycznych Zespołów Trakcyjnych do wykonywania pasażerskich przewozów regionalnych"</t>
  </si>
  <si>
    <t>Muzeum Śląskie w Katowicach - "Budowa nowej siedziby Muzeum Śląskiego w Katowicach"</t>
  </si>
  <si>
    <t>Zespół pieśni i Tańca "Śląsk" w Koszęcinie - "Rewitalizacja Zespołu pałacowo-parkowego w Koszęcinie w ramach tworzenia Śląskiego Centrum Edukacji Regionalnej - II i III etap"</t>
  </si>
  <si>
    <t>KREDYTY w roku budżetowym 2014</t>
  </si>
  <si>
    <t>Łączna kwota kredytów w 2014 r., w tym:</t>
  </si>
  <si>
    <t>PROGNOZA OPROCENTOWANIA REALNEGO KREDYTU 
na lata 2014-2020</t>
  </si>
  <si>
    <t>x23</t>
  </si>
  <si>
    <t>x1</t>
  </si>
  <si>
    <t>"Zakup taboru do obsługi połączeń międzywojewódzkich (…)"</t>
  </si>
  <si>
    <t>x27</t>
  </si>
  <si>
    <t>KOSZTY KREDYTÓW ZACIĄGNIĘTYCH W LATACH 2009-2014</t>
  </si>
  <si>
    <t>x35</t>
  </si>
  <si>
    <t>Teatr Śląski - "Adaptacja budynku Teatru Śląskiego tzw. Malarni i zaplecza magazynowo-warsztatowego dla potrzeb kulturalnych i turystycznych"</t>
  </si>
  <si>
    <t xml:space="preserve">Stadion w Chorzowie - "Zadaszenie widowni oraz niezbędna infrastruktura techniczna Stadionu Śląskiego w Chorzowie”. </t>
  </si>
  <si>
    <t xml:space="preserve">Filharmonia Śląska - "Rozbudowa Filharmonii Śląskiej w Katowicach” </t>
  </si>
  <si>
    <t>662 163  zł zdjęto z Muzeum i przeznaczono na GPE Chorzów</t>
  </si>
  <si>
    <t>1 000 000 zł zdjęto z Muzeum i przeznaczono na Teatr Śląski</t>
  </si>
  <si>
    <t>Zadania realizowane przez wydział Komunikacji i Transportu:                                                                                      a) "Budowa północnego obejścia Żywca (DW 946)”,                                                                                                                                                     b) "Przebudowa drogi po budowie kanalizacji (DW 790/791)”,                                                                                                                                         c) "Przebudowa DW 935 wraz z budową chodników na odcinku od km 45+190 do km 56+741 w miejscowości Suszec”,                                                                                                                                                                                                                                 d) "Przebudowa DW 934 w miejscowości Imielin ul. Imielińska",                                                                                                                                 e) "Przebudowa obiektu mostowego w km 9+023 DW 905 w m. Boronów – rozbiórka i budowa mostu”.</t>
  </si>
  <si>
    <t>Łączna kwota kredytów w 2009 r., w tym:</t>
  </si>
  <si>
    <t>Zakup akcji GTL SA (kredyt do 2014 r.)</t>
  </si>
  <si>
    <t>Stadion w Chorzowie - „Zadaszenie widowni oraz niezbędna infrastruktura techniczna Stadionu Śląskiego w Chorzowie” (kredyt do 2014 r.)</t>
  </si>
  <si>
    <t>PROWIZJA 0,40%</t>
  </si>
  <si>
    <t>x 39</t>
  </si>
  <si>
    <t>Załącznik 1</t>
  </si>
  <si>
    <t>WIELOLETNIA PROGNOZA FINANSOWA</t>
  </si>
  <si>
    <t>Dochody ogółem, z tego:</t>
  </si>
  <si>
    <t>a)</t>
  </si>
  <si>
    <t>dochody bieżące</t>
  </si>
  <si>
    <t>b)</t>
  </si>
  <si>
    <t>dochody majątkowe, w tym:</t>
  </si>
  <si>
    <t>c)</t>
  </si>
  <si>
    <t>ze sprzedaży majątku</t>
  </si>
  <si>
    <t>Wydatki ogółem, z tego: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</si>
  <si>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m.in:</t>
    </r>
  </si>
  <si>
    <t>d)</t>
  </si>
  <si>
    <t xml:space="preserve"> z tytułu gwarancji i poręczeń</t>
  </si>
  <si>
    <t>e)</t>
  </si>
  <si>
    <t>f)</t>
  </si>
  <si>
    <t xml:space="preserve"> wydatki bieżące na przedsięwzięcia</t>
  </si>
  <si>
    <t>g)</t>
  </si>
  <si>
    <r>
      <rPr>
        <b/>
        <sz val="11"/>
        <color indexed="8"/>
        <rFont val="Times New Roman"/>
        <family val="1"/>
        <charset val="238"/>
      </rPr>
      <t>wydatki majątkowe</t>
    </r>
    <r>
      <rPr>
        <sz val="11"/>
        <color indexed="8"/>
        <rFont val="Times New Roman"/>
        <family val="1"/>
        <charset val="238"/>
      </rPr>
      <t>, w tym:</t>
    </r>
  </si>
  <si>
    <t>h)</t>
  </si>
  <si>
    <t xml:space="preserve"> wydatki majątkowe na przedsięwzięcia</t>
  </si>
  <si>
    <t>Wynik budżetu/nadwyżka lub deficyt budżetu (1-2)</t>
  </si>
  <si>
    <t>Nadwyżka operacyjna (1a-2a)</t>
  </si>
  <si>
    <t>Przychody, z tego:</t>
  </si>
  <si>
    <t>przychody nie związane z zaciągnięciem długu, w tym:</t>
  </si>
  <si>
    <t>nadwyżka budżetowa z lat ubiegłych</t>
  </si>
  <si>
    <t>wolne środki</t>
  </si>
  <si>
    <t>spłata rat udzielonych pożyczek</t>
  </si>
  <si>
    <t>przychody związane z zaciągnięciem długu (kredyt)</t>
  </si>
  <si>
    <t>Rozchody, z tego:</t>
  </si>
  <si>
    <t xml:space="preserve">rozchody z tytułu spłaty rat kapitałowych </t>
  </si>
  <si>
    <t>udzielane pożyczki</t>
  </si>
  <si>
    <t>Równowaga budżetowa (1+5-2-6=0)</t>
  </si>
  <si>
    <t>Kwota długu, w tym:</t>
  </si>
  <si>
    <t>łączna kwota wyłączeń spłaty kredytów i pożyczek zaciągniętych na realizację zadań finansowanych ze środków UE (art. 243 ust. 3 pkt 1 ufp)</t>
  </si>
  <si>
    <t>kwota wyłączeń spłaty kredytów i pożyczek zaciągniętych na realizację zadań finansowanych ze środków UE przypadająca na dany rok budżetowy 
(art. 243 ust. 3 pkt 1 ufp)</t>
  </si>
  <si>
    <t>Indywidualny wskaźnik spłaty zadłużenia</t>
  </si>
  <si>
    <t xml:space="preserve"> planowany wskaźnik spłaty zobowiązań (z art. 243 ufp)</t>
  </si>
  <si>
    <t xml:space="preserve"> maksymalny dopuszczalny wskaźnik spłaty (z art. 243 ufp)</t>
  </si>
  <si>
    <t>Spełnienie wskaźnika spłaty z art. 243 ufp po uwzględnieniu art. 244 ufp</t>
  </si>
  <si>
    <t>Planowana łączna kwota spłaty zobowiązań/dochody ogółem - max 15% 
(z art. 169 ufp z 2005 r.)</t>
  </si>
  <si>
    <t>Zadłużenie/dochody ogółem - max 60% 
(z art. 170 ufp z 2005 r.)</t>
  </si>
  <si>
    <t>Finansowanie spłaty długu, w tym:</t>
  </si>
  <si>
    <t>dochody własne (wpływy z udziału w podatku dochodowym od osób prawnych)</t>
  </si>
  <si>
    <t>nadwyżka budżetowa z lat poprzednich</t>
  </si>
  <si>
    <t>prywatyzacja majątku</t>
  </si>
  <si>
    <t>kredyt</t>
  </si>
  <si>
    <t>spłaty rat pożyczek</t>
  </si>
  <si>
    <t>emisja obligacji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</si>
  <si>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</si>
  <si>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</si>
  <si>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</si>
  <si>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</si>
  <si>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</si>
  <si>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</si>
  <si>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</si>
  <si>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</si>
  <si>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</si>
  <si>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TABELA 1
do WPF</t>
  </si>
  <si>
    <t xml:space="preserve">Lp. </t>
  </si>
  <si>
    <t xml:space="preserve">Źródła dochodu </t>
  </si>
  <si>
    <t>I</t>
  </si>
  <si>
    <t>DOCHODY WŁASNE - ogółem</t>
  </si>
  <si>
    <t>w tym bieżące:</t>
  </si>
  <si>
    <t>1. Udział w podatkach stanowiących dochód budżetu państwa, w tym:</t>
  </si>
  <si>
    <t xml:space="preserve">     - udział w podatku dochodowym od osób fizycznych (1,6%)</t>
  </si>
  <si>
    <t xml:space="preserve">     - udział w podatku dochodowym od osób prawnych (14,75%)</t>
  </si>
  <si>
    <t>2. Dochody jednostek budżetowych</t>
  </si>
  <si>
    <t>3. 10% kwoty uzyskiwanej w związku z gromadzeniem środków z opłat i kar za korzystanie ze środowiska</t>
  </si>
  <si>
    <t>4. Wpływy z opłat za koncesje i licencje</t>
  </si>
  <si>
    <t>5. 2% wpływów z opłaty produktowej</t>
  </si>
  <si>
    <t>6. 5% dochodów uzyskiwanych na rzecz budżetu państwa w związku z realizacją zadań z zakresu administracji rządowej oraz innych zadań zleconych ustawami, o ile odrębne przepisy nie stanowią inaczej</t>
  </si>
  <si>
    <t>7. Odsetki od środków finansowych na rachunkach bankowych i bonów skarbowych</t>
  </si>
  <si>
    <t>8. Wpływy za wydawanie zezwoleń na obrót hurtowy napojami alkoholowymi o zawartości do 18% alkoholu</t>
  </si>
  <si>
    <t>w tym majątkowe:</t>
  </si>
  <si>
    <t>3. Środki ze źródeł pozabudżetowych</t>
  </si>
  <si>
    <t>II</t>
  </si>
  <si>
    <t>SUBWENCJA OGÓLNA</t>
  </si>
  <si>
    <t>1. Część oświatowa</t>
  </si>
  <si>
    <t>2. Część wyrównawcza</t>
  </si>
  <si>
    <t>3. Część regionalna</t>
  </si>
  <si>
    <t>4. Część uzupełniająca</t>
  </si>
  <si>
    <t>III</t>
  </si>
  <si>
    <t>DOTACJE CELOWE NA ZADANIA WŁASNE</t>
  </si>
  <si>
    <t>3. Porozumienia między jednostkami samorządu terytorialnego</t>
  </si>
  <si>
    <t>Zadania zlecone i powierzone</t>
  </si>
  <si>
    <t>BIEŻĄCE</t>
  </si>
  <si>
    <t>MAJĄTKOWE</t>
  </si>
  <si>
    <t>DOCHODY OGÓŁEM</t>
  </si>
  <si>
    <t>DOCHODY BIEŻĄCE</t>
  </si>
  <si>
    <t>DOCHODY MAJĄTKOWE</t>
  </si>
  <si>
    <t>Wielkości początkowe za lata 2007 - 2010 do obliczenia relacji,                                                                                                                                                 o której mowa w art. 243 ufp</t>
  </si>
  <si>
    <t>Dochody bieżące</t>
  </si>
  <si>
    <t>Sprzedaż majątku</t>
  </si>
  <si>
    <t>Wydatki bieżące</t>
  </si>
  <si>
    <t>Dochody ogółem</t>
  </si>
  <si>
    <t>(Dochody bieżące + sprzedaż majątku - wydatki bieżące) / dochody ogółem</t>
  </si>
  <si>
    <r>
      <rPr>
        <b/>
        <sz val="11"/>
        <color theme="1"/>
        <rFont val="Czcionka tekstu podstawowego"/>
        <charset val="238"/>
      </rPr>
      <t>ZADANIE NOWE</t>
    </r>
    <r>
      <rPr>
        <sz val="11"/>
        <color theme="1"/>
        <rFont val="Czcionka tekstu podstawowego"/>
        <family val="2"/>
        <charset val="238"/>
      </rPr>
      <t xml:space="preserve"> - Samodzielny Publiczny Wojewódzki Szpital Chirurgii Urazowej im dr Janusza Daaba w Piekarach Śląskich" - Modernizacja i rozbudowa pawilonu diagnostyczno-zabiegowego w zakresie Bloku Operacyjnego i Centralnej Sterylizatorni Samodzielnego Publicznego Wojewódzkiego Szpitala Chirurgii Urazowej im dr J.Daaba w Piekarach Śląskich"</t>
    </r>
  </si>
  <si>
    <r>
      <rPr>
        <b/>
        <sz val="11"/>
        <color theme="1"/>
        <rFont val="Czcionka tekstu podstawowego"/>
        <charset val="238"/>
      </rPr>
      <t>ZADANIE NOWE</t>
    </r>
    <r>
      <rPr>
        <sz val="11"/>
        <color theme="1"/>
        <rFont val="Czcionka tekstu podstawowego"/>
        <family val="2"/>
        <charset val="238"/>
      </rPr>
      <t xml:space="preserve"> - Młodzieżowy Ośrodek Wychowawczy w Jaworzu - "Przebudowa budynku Zamek w Jaworzu po pożarze"</t>
    </r>
  </si>
  <si>
    <t>1.</t>
  </si>
  <si>
    <t>2.</t>
  </si>
  <si>
    <t>3.</t>
  </si>
  <si>
    <t>4.</t>
  </si>
  <si>
    <t>5.</t>
  </si>
  <si>
    <t>6.</t>
  </si>
  <si>
    <r>
      <rPr>
        <b/>
        <sz val="11"/>
        <color theme="1"/>
        <rFont val="Czcionka tekstu podstawowego"/>
        <charset val="238"/>
      </rPr>
      <t>ZADANIE NOWE</t>
    </r>
    <r>
      <rPr>
        <sz val="11"/>
        <color theme="1"/>
        <rFont val="Czcionka tekstu podstawowego"/>
        <family val="2"/>
        <charset val="238"/>
      </rPr>
      <t xml:space="preserve"> - Zadania realizowane przez wydział Komunikacji i Transportu</t>
    </r>
  </si>
  <si>
    <t xml:space="preserve">Górnośląski Park Etnograficzny w Chorzowie - „Budowa obiektu wielofunkcyjnego (szkoleniowo-ekspozycyjnego) na terenie Górnośląskiego Parku Etnograficznego w Chorzowie” </t>
  </si>
  <si>
    <t>w tym: Opłata za udostępnianie dokumentów i materiałów zasobu geodezyjnego</t>
  </si>
  <si>
    <t>1. Dochody jednostek budżetowych</t>
  </si>
  <si>
    <t>- na wynagrodzenia i składki od nich naliczane</t>
  </si>
  <si>
    <t>- związane z funkcjonowaniem organów JST</t>
  </si>
  <si>
    <t>- z tytułu gwarancji i poręczeń</t>
  </si>
  <si>
    <t>- wydatki bieżące na obsługę długu</t>
  </si>
  <si>
    <t>- nadwyżka budżetowa z lat ubiegłych</t>
  </si>
  <si>
    <t>- wolne środki</t>
  </si>
  <si>
    <t>- spłata rat udzielonych pożyczek</t>
  </si>
  <si>
    <t>- ze sprzedaży majątku</t>
  </si>
  <si>
    <t>Kwota długu</t>
  </si>
  <si>
    <t xml:space="preserve"> planowany wskaźnik spłaty zobowiązań </t>
  </si>
  <si>
    <t xml:space="preserve"> maksymalny dopuszczalny wskaźnik spłaty </t>
  </si>
  <si>
    <t>Indywidualny wskaźnik spłaty zadłużenia (z art. 243 ufp)</t>
  </si>
  <si>
    <t>Planowana łączna kwota spłaty zobowiązań/dochody ogółem - max 15%                              (z art. 169 ufp z 2005 r.)</t>
  </si>
  <si>
    <t>Europejski Ośrodek Kultury Technicznej i Turystyki Przemysłowej - Skansen Górniczy
Królowa Luiza, etap II - Rewitalizacja budynku łaźni łańcuszkowej</t>
  </si>
  <si>
    <t>7.</t>
  </si>
  <si>
    <t>DOCHODY WŁASNE ogółem</t>
  </si>
  <si>
    <t xml:space="preserve"> - bieżące</t>
  </si>
  <si>
    <t>- majątkowe</t>
  </si>
  <si>
    <t>WYDATKI OGÓŁEM</t>
  </si>
  <si>
    <t>- spłata rat kredytowych</t>
  </si>
  <si>
    <t>- udzielane pożyczki</t>
  </si>
  <si>
    <t>PRZYCHODY</t>
  </si>
  <si>
    <t>- KREDYTY</t>
  </si>
  <si>
    <t>PROGNOZA DOCHODÓW BUDŻETU WŁASNEGO WOJEWÓDZTWA ŚLĄSKIEGO W LATACH 2012 - 2020</t>
  </si>
  <si>
    <t>RÓWNOWAGA</t>
  </si>
  <si>
    <t>9. Opłata za wyłączenie gruntów rolnych z produkcji</t>
  </si>
  <si>
    <t>- wydatki bieżące na przedsięwzięcia wieloletnie</t>
  </si>
  <si>
    <t>- wydatki majątkowe na przedsięwzięcia wieloletnie</t>
  </si>
  <si>
    <t>10. Środki unijne</t>
  </si>
  <si>
    <t>11. Środki ze źródeł pozabudżetowych</t>
  </si>
  <si>
    <t>w tym: ze sprzedaży składników majątkowych</t>
  </si>
  <si>
    <t>2. Środki unijne</t>
  </si>
  <si>
    <t>2. Dotacje celowe do zadań realizowanych ze środków unijnych</t>
  </si>
  <si>
    <t>1. Z budżetu państwa na zadania własne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</si>
  <si>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m.in.:</t>
    </r>
  </si>
</sst>
</file>

<file path=xl/styles.xml><?xml version="1.0" encoding="utf-8"?>
<styleSheet xmlns="http://schemas.openxmlformats.org/spreadsheetml/2006/main">
  <numFmts count="5">
    <numFmt numFmtId="164" formatCode="#,##0\ _z_ł"/>
    <numFmt numFmtId="165" formatCode="0.0000"/>
    <numFmt numFmtId="166" formatCode="#,##0_ ;\-#,##0\ "/>
    <numFmt numFmtId="167" formatCode="0.00000"/>
    <numFmt numFmtId="168" formatCode="#,##0.00000"/>
  </numFmts>
  <fonts count="64">
    <font>
      <sz val="11"/>
      <color theme="1"/>
      <name val="Czcionka tekstu podstawowego"/>
      <family val="2"/>
      <charset val="238"/>
    </font>
    <font>
      <b/>
      <sz val="15"/>
      <name val="Book Antiqua"/>
      <family val="1"/>
    </font>
    <font>
      <i/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Arial CE"/>
      <family val="2"/>
      <charset val="238"/>
    </font>
    <font>
      <sz val="12"/>
      <name val="Book Antiqua"/>
      <family val="1"/>
    </font>
    <font>
      <b/>
      <sz val="13"/>
      <name val="Times New Roman CE"/>
      <charset val="238"/>
    </font>
    <font>
      <b/>
      <sz val="12"/>
      <name val="Times New Roman CE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Book Antiqua"/>
      <family val="1"/>
    </font>
    <font>
      <b/>
      <sz val="11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Czcionka tekstu podstawowego"/>
      <charset val="238"/>
    </font>
    <font>
      <b/>
      <i/>
      <sz val="14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family val="2"/>
      <charset val="238"/>
    </font>
    <font>
      <i/>
      <sz val="11"/>
      <name val="Czcionka tekstu podstawowego"/>
      <charset val="238"/>
    </font>
    <font>
      <b/>
      <i/>
      <sz val="12"/>
      <color theme="1"/>
      <name val="Czcionka tekstu podstawowego"/>
      <charset val="238"/>
    </font>
    <font>
      <sz val="9"/>
      <name val="Times New Roman"/>
      <family val="1"/>
      <charset val="238"/>
    </font>
    <font>
      <b/>
      <sz val="11"/>
      <name val="Czcionka tekstu podstawowego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Times New Roman"/>
      <family val="1"/>
    </font>
    <font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4" fontId="5" fillId="0" borderId="11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0" fillId="0" borderId="21" xfId="0" applyBorder="1"/>
    <xf numFmtId="0" fontId="13" fillId="0" borderId="0" xfId="0" applyFont="1"/>
    <xf numFmtId="3" fontId="14" fillId="0" borderId="0" xfId="0" applyNumberFormat="1" applyFont="1"/>
    <xf numFmtId="4" fontId="0" fillId="0" borderId="0" xfId="0" applyNumberFormat="1"/>
    <xf numFmtId="10" fontId="14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" fontId="8" fillId="0" borderId="26" xfId="0" applyNumberFormat="1" applyFont="1" applyBorder="1" applyAlignment="1">
      <alignment vertical="center" wrapText="1"/>
    </xf>
    <xf numFmtId="0" fontId="0" fillId="0" borderId="17" xfId="0" applyBorder="1" applyAlignment="1">
      <alignment vertical="center"/>
    </xf>
    <xf numFmtId="4" fontId="18" fillId="0" borderId="0" xfId="0" applyNumberFormat="1" applyFont="1"/>
    <xf numFmtId="4" fontId="8" fillId="0" borderId="27" xfId="0" applyNumberFormat="1" applyFont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" fontId="10" fillId="0" borderId="0" xfId="0" applyNumberFormat="1" applyFont="1"/>
    <xf numFmtId="0" fontId="15" fillId="0" borderId="1" xfId="0" applyFont="1" applyBorder="1" applyAlignment="1">
      <alignment horizontal="right" vertical="center"/>
    </xf>
    <xf numFmtId="1" fontId="0" fillId="0" borderId="0" xfId="0" applyNumberFormat="1" applyAlignment="1"/>
    <xf numFmtId="0" fontId="19" fillId="2" borderId="2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3" fontId="21" fillId="0" borderId="31" xfId="0" applyNumberFormat="1" applyFont="1" applyBorder="1" applyAlignment="1">
      <alignment horizontal="right" vertical="center"/>
    </xf>
    <xf numFmtId="0" fontId="22" fillId="0" borderId="32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3" fontId="21" fillId="0" borderId="24" xfId="0" applyNumberFormat="1" applyFont="1" applyBorder="1" applyAlignment="1">
      <alignment horizontal="right" vertical="center"/>
    </xf>
    <xf numFmtId="3" fontId="21" fillId="0" borderId="33" xfId="0" applyNumberFormat="1" applyFont="1" applyBorder="1" applyAlignment="1">
      <alignment horizontal="right" vertical="center"/>
    </xf>
    <xf numFmtId="0" fontId="20" fillId="0" borderId="32" xfId="0" applyFont="1" applyBorder="1" applyAlignment="1">
      <alignment horizontal="center" vertical="center"/>
    </xf>
    <xf numFmtId="0" fontId="20" fillId="0" borderId="24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0" fillId="0" borderId="24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3" fontId="0" fillId="0" borderId="34" xfId="0" applyNumberFormat="1" applyBorder="1" applyAlignment="1">
      <alignment horizontal="right"/>
    </xf>
    <xf numFmtId="3" fontId="24" fillId="0" borderId="34" xfId="0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20" fillId="0" borderId="31" xfId="0" applyFont="1" applyBorder="1" applyAlignment="1">
      <alignment vertical="center"/>
    </xf>
    <xf numFmtId="4" fontId="25" fillId="0" borderId="0" xfId="0" applyNumberFormat="1" applyFont="1"/>
    <xf numFmtId="0" fontId="25" fillId="0" borderId="0" xfId="0" applyFont="1"/>
    <xf numFmtId="0" fontId="16" fillId="0" borderId="0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0" fontId="16" fillId="0" borderId="0" xfId="0" applyFont="1" applyBorder="1"/>
    <xf numFmtId="3" fontId="16" fillId="0" borderId="1" xfId="0" applyNumberFormat="1" applyFont="1" applyBorder="1" applyAlignment="1">
      <alignment horizontal="right" vertical="center" wrapText="1"/>
    </xf>
    <xf numFmtId="0" fontId="1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164" fontId="16" fillId="0" borderId="35" xfId="0" applyNumberFormat="1" applyFont="1" applyBorder="1" applyAlignment="1">
      <alignment vertical="center"/>
    </xf>
    <xf numFmtId="3" fontId="18" fillId="0" borderId="35" xfId="0" applyNumberFormat="1" applyFont="1" applyBorder="1" applyAlignment="1">
      <alignment horizontal="right" vertical="center"/>
    </xf>
    <xf numFmtId="0" fontId="19" fillId="0" borderId="32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3" fontId="19" fillId="0" borderId="24" xfId="0" applyNumberFormat="1" applyFont="1" applyBorder="1" applyAlignment="1">
      <alignment horizontal="right" vertical="center"/>
    </xf>
    <xf numFmtId="0" fontId="26" fillId="2" borderId="36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3" fontId="21" fillId="0" borderId="23" xfId="0" applyNumberFormat="1" applyFont="1" applyBorder="1" applyAlignment="1">
      <alignment horizontal="right" vertical="center"/>
    </xf>
    <xf numFmtId="3" fontId="21" fillId="0" borderId="24" xfId="0" applyNumberFormat="1" applyFont="1" applyFill="1" applyBorder="1" applyAlignment="1">
      <alignment horizontal="right" vertical="center"/>
    </xf>
    <xf numFmtId="3" fontId="21" fillId="0" borderId="33" xfId="0" applyNumberFormat="1" applyFont="1" applyFill="1" applyBorder="1" applyAlignment="1">
      <alignment horizontal="right" vertical="center"/>
    </xf>
    <xf numFmtId="0" fontId="19" fillId="0" borderId="32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/>
    </xf>
    <xf numFmtId="3" fontId="19" fillId="0" borderId="40" xfId="0" applyNumberFormat="1" applyFont="1" applyBorder="1" applyAlignment="1">
      <alignment horizontal="right" vertical="center"/>
    </xf>
    <xf numFmtId="3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4" fontId="8" fillId="0" borderId="1" xfId="0" applyNumberFormat="1" applyFont="1" applyBorder="1" applyAlignment="1">
      <alignment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32" fillId="0" borderId="0" xfId="0" applyNumberFormat="1" applyFont="1"/>
    <xf numFmtId="0" fontId="0" fillId="0" borderId="1" xfId="0" applyBorder="1" applyAlignment="1">
      <alignment vertical="center" wrapText="1"/>
    </xf>
    <xf numFmtId="0" fontId="28" fillId="0" borderId="0" xfId="0" applyFont="1" applyAlignment="1">
      <alignment horizontal="center"/>
    </xf>
    <xf numFmtId="3" fontId="21" fillId="0" borderId="0" xfId="0" applyNumberFormat="1" applyFont="1" applyBorder="1" applyAlignment="1">
      <alignment horizontal="right" vertical="center"/>
    </xf>
    <xf numFmtId="3" fontId="30" fillId="0" borderId="1" xfId="0" applyNumberFormat="1" applyFont="1" applyBorder="1" applyAlignment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4" fontId="34" fillId="0" borderId="0" xfId="0" applyNumberFormat="1" applyFont="1"/>
    <xf numFmtId="0" fontId="34" fillId="0" borderId="0" xfId="0" applyFont="1"/>
    <xf numFmtId="0" fontId="0" fillId="0" borderId="0" xfId="0" applyAlignment="1">
      <alignment horizontal="left"/>
    </xf>
    <xf numFmtId="0" fontId="2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" fontId="16" fillId="0" borderId="0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horizontal="right" vertical="center"/>
    </xf>
    <xf numFmtId="3" fontId="35" fillId="0" borderId="24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1" fontId="16" fillId="0" borderId="10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4" fontId="0" fillId="0" borderId="0" xfId="0" applyNumberFormat="1" applyBorder="1"/>
    <xf numFmtId="0" fontId="16" fillId="0" borderId="42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30" fillId="0" borderId="1" xfId="0" applyNumberFormat="1" applyFont="1" applyBorder="1" applyAlignment="1">
      <alignment horizontal="right" vertical="center"/>
    </xf>
    <xf numFmtId="0" fontId="19" fillId="2" borderId="29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30" fillId="0" borderId="0" xfId="0" applyFont="1" applyBorder="1"/>
    <xf numFmtId="3" fontId="30" fillId="0" borderId="0" xfId="0" applyNumberFormat="1" applyFont="1" applyBorder="1"/>
    <xf numFmtId="0" fontId="23" fillId="0" borderId="0" xfId="0" applyFont="1"/>
    <xf numFmtId="0" fontId="38" fillId="0" borderId="0" xfId="0" applyFont="1" applyAlignment="1">
      <alignment horizontal="right"/>
    </xf>
    <xf numFmtId="0" fontId="40" fillId="2" borderId="28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3" fontId="40" fillId="0" borderId="31" xfId="0" applyNumberFormat="1" applyFont="1" applyBorder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vertical="center" wrapText="1"/>
    </xf>
    <xf numFmtId="3" fontId="23" fillId="0" borderId="24" xfId="0" applyNumberFormat="1" applyFont="1" applyBorder="1" applyAlignment="1">
      <alignment horizontal="right" vertical="center"/>
    </xf>
    <xf numFmtId="0" fontId="23" fillId="0" borderId="34" xfId="0" applyFont="1" applyBorder="1" applyAlignment="1">
      <alignment horizontal="center" vertical="center"/>
    </xf>
    <xf numFmtId="3" fontId="40" fillId="0" borderId="24" xfId="0" applyNumberFormat="1" applyFont="1" applyBorder="1" applyAlignment="1">
      <alignment horizontal="right" vertical="center"/>
    </xf>
    <xf numFmtId="3" fontId="40" fillId="0" borderId="26" xfId="0" applyNumberFormat="1" applyFont="1" applyFill="1" applyBorder="1" applyAlignment="1">
      <alignment horizontal="right" vertical="center"/>
    </xf>
    <xf numFmtId="3" fontId="23" fillId="0" borderId="24" xfId="0" applyNumberFormat="1" applyFont="1" applyFill="1" applyBorder="1" applyAlignment="1">
      <alignment horizontal="right" vertical="center"/>
    </xf>
    <xf numFmtId="0" fontId="23" fillId="0" borderId="33" xfId="0" applyFont="1" applyBorder="1" applyAlignment="1">
      <alignment horizontal="left" vertical="center" wrapText="1"/>
    </xf>
    <xf numFmtId="0" fontId="23" fillId="0" borderId="44" xfId="0" applyFont="1" applyBorder="1" applyAlignment="1">
      <alignment vertical="center" wrapText="1"/>
    </xf>
    <xf numFmtId="3" fontId="23" fillId="0" borderId="26" xfId="0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right" vertical="center"/>
    </xf>
    <xf numFmtId="0" fontId="40" fillId="0" borderId="45" xfId="0" applyFont="1" applyBorder="1" applyAlignment="1">
      <alignment horizontal="center" vertical="center"/>
    </xf>
    <xf numFmtId="3" fontId="40" fillId="0" borderId="45" xfId="0" applyNumberFormat="1" applyFont="1" applyBorder="1" applyAlignment="1">
      <alignment horizontal="right" vertical="center"/>
    </xf>
    <xf numFmtId="0" fontId="40" fillId="0" borderId="39" xfId="0" applyFont="1" applyBorder="1" applyAlignment="1">
      <alignment horizontal="center" vertical="center"/>
    </xf>
    <xf numFmtId="3" fontId="40" fillId="0" borderId="40" xfId="0" applyNumberFormat="1" applyFont="1" applyBorder="1" applyAlignment="1">
      <alignment horizontal="right" vertical="center" wrapText="1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left" vertical="center" wrapText="1"/>
    </xf>
    <xf numFmtId="0" fontId="0" fillId="0" borderId="0" xfId="0" applyFill="1"/>
    <xf numFmtId="0" fontId="40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0" fillId="0" borderId="0" xfId="0" applyFont="1"/>
    <xf numFmtId="0" fontId="40" fillId="0" borderId="23" xfId="0" applyFont="1" applyBorder="1" applyAlignment="1">
      <alignment horizontal="center" vertical="center"/>
    </xf>
    <xf numFmtId="0" fontId="40" fillId="0" borderId="40" xfId="0" applyFont="1" applyBorder="1" applyAlignment="1">
      <alignment horizontal="left" vertical="center" wrapText="1"/>
    </xf>
    <xf numFmtId="166" fontId="23" fillId="0" borderId="40" xfId="0" applyNumberFormat="1" applyFont="1" applyBorder="1" applyAlignment="1">
      <alignment horizontal="right" vertical="center"/>
    </xf>
    <xf numFmtId="166" fontId="23" fillId="0" borderId="23" xfId="0" applyNumberFormat="1" applyFont="1" applyBorder="1" applyAlignment="1">
      <alignment horizontal="right" vertical="center"/>
    </xf>
    <xf numFmtId="166" fontId="23" fillId="0" borderId="33" xfId="0" applyNumberFormat="1" applyFont="1" applyBorder="1" applyAlignment="1">
      <alignment horizontal="right" vertical="center"/>
    </xf>
    <xf numFmtId="166" fontId="23" fillId="0" borderId="24" xfId="0" applyNumberFormat="1" applyFont="1" applyBorder="1" applyAlignment="1">
      <alignment horizontal="right" vertical="center"/>
    </xf>
    <xf numFmtId="166" fontId="23" fillId="0" borderId="34" xfId="0" applyNumberFormat="1" applyFont="1" applyBorder="1" applyAlignment="1">
      <alignment horizontal="right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vertical="center" wrapText="1"/>
    </xf>
    <xf numFmtId="166" fontId="23" fillId="0" borderId="47" xfId="0" applyNumberFormat="1" applyFont="1" applyBorder="1" applyAlignment="1">
      <alignment horizontal="right" vertical="center"/>
    </xf>
    <xf numFmtId="166" fontId="23" fillId="0" borderId="45" xfId="0" applyNumberFormat="1" applyFont="1" applyBorder="1" applyAlignment="1">
      <alignment horizontal="right" vertical="center"/>
    </xf>
    <xf numFmtId="0" fontId="23" fillId="0" borderId="0" xfId="0" applyFont="1" applyBorder="1"/>
    <xf numFmtId="0" fontId="23" fillId="0" borderId="0" xfId="0" applyFont="1" applyBorder="1" applyAlignment="1">
      <alignment vertical="center" wrapText="1"/>
    </xf>
    <xf numFmtId="0" fontId="0" fillId="0" borderId="0" xfId="0" applyFont="1" applyBorder="1"/>
    <xf numFmtId="3" fontId="23" fillId="0" borderId="23" xfId="0" applyNumberFormat="1" applyFont="1" applyBorder="1" applyAlignment="1">
      <alignment horizontal="right" vertical="center"/>
    </xf>
    <xf numFmtId="3" fontId="23" fillId="0" borderId="48" xfId="0" applyNumberFormat="1" applyFont="1" applyBorder="1" applyAlignment="1">
      <alignment horizontal="right" vertical="center"/>
    </xf>
    <xf numFmtId="3" fontId="23" fillId="0" borderId="34" xfId="0" applyNumberFormat="1" applyFont="1" applyBorder="1" applyAlignment="1">
      <alignment horizontal="right" vertical="center"/>
    </xf>
    <xf numFmtId="3" fontId="23" fillId="0" borderId="45" xfId="0" applyNumberFormat="1" applyFont="1" applyBorder="1" applyAlignment="1">
      <alignment horizontal="right" vertical="center"/>
    </xf>
    <xf numFmtId="3" fontId="23" fillId="0" borderId="49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38" fillId="0" borderId="0" xfId="0" applyFont="1" applyAlignment="1">
      <alignment horizontal="right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7" fillId="0" borderId="6" xfId="0" applyNumberFormat="1" applyFont="1" applyFill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3" fontId="46" fillId="0" borderId="51" xfId="0" applyNumberFormat="1" applyFont="1" applyBorder="1" applyAlignment="1">
      <alignment vertical="center"/>
    </xf>
    <xf numFmtId="0" fontId="44" fillId="0" borderId="52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3" fontId="45" fillId="0" borderId="1" xfId="0" applyNumberFormat="1" applyFont="1" applyBorder="1" applyAlignment="1">
      <alignment vertical="center"/>
    </xf>
    <xf numFmtId="3" fontId="48" fillId="0" borderId="1" xfId="0" applyNumberFormat="1" applyFont="1" applyFill="1" applyBorder="1" applyAlignment="1">
      <alignment vertical="center"/>
    </xf>
    <xf numFmtId="3" fontId="45" fillId="0" borderId="9" xfId="0" applyNumberFormat="1" applyFont="1" applyBorder="1" applyAlignment="1">
      <alignment vertical="center"/>
    </xf>
    <xf numFmtId="3" fontId="45" fillId="0" borderId="38" xfId="0" applyNumberFormat="1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50" fillId="0" borderId="1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0" fontId="49" fillId="0" borderId="11" xfId="0" applyFont="1" applyBorder="1" applyAlignment="1">
      <alignment vertical="center" wrapText="1"/>
    </xf>
    <xf numFmtId="0" fontId="49" fillId="0" borderId="10" xfId="0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50" fillId="0" borderId="10" xfId="0" applyNumberFormat="1" applyFont="1" applyFill="1" applyBorder="1" applyAlignment="1">
      <alignment vertical="center"/>
    </xf>
    <xf numFmtId="3" fontId="3" fillId="0" borderId="53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0" fontId="49" fillId="0" borderId="55" xfId="0" applyFont="1" applyBorder="1" applyAlignment="1">
      <alignment vertical="center" wrapText="1"/>
    </xf>
    <xf numFmtId="3" fontId="3" fillId="0" borderId="55" xfId="0" applyNumberFormat="1" applyFont="1" applyBorder="1" applyAlignment="1">
      <alignment vertical="center"/>
    </xf>
    <xf numFmtId="3" fontId="50" fillId="0" borderId="55" xfId="0" applyNumberFormat="1" applyFont="1" applyFill="1" applyBorder="1" applyAlignment="1">
      <alignment vertical="center"/>
    </xf>
    <xf numFmtId="3" fontId="3" fillId="0" borderId="56" xfId="0" applyNumberFormat="1" applyFont="1" applyBorder="1" applyAlignment="1">
      <alignment vertical="center"/>
    </xf>
    <xf numFmtId="3" fontId="3" fillId="0" borderId="57" xfId="0" applyNumberFormat="1" applyFont="1" applyBorder="1" applyAlignment="1">
      <alignment vertical="center"/>
    </xf>
    <xf numFmtId="0" fontId="49" fillId="3" borderId="10" xfId="0" applyFont="1" applyFill="1" applyBorder="1" applyAlignment="1">
      <alignment vertical="center" wrapText="1"/>
    </xf>
    <xf numFmtId="0" fontId="49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3" fontId="50" fillId="3" borderId="1" xfId="0" applyNumberFormat="1" applyFont="1" applyFill="1" applyBorder="1" applyAlignment="1">
      <alignment vertical="center"/>
    </xf>
    <xf numFmtId="3" fontId="48" fillId="0" borderId="9" xfId="0" applyNumberFormat="1" applyFont="1" applyFill="1" applyBorder="1" applyAlignment="1">
      <alignment vertical="center"/>
    </xf>
    <xf numFmtId="3" fontId="48" fillId="0" borderId="38" xfId="0" applyNumberFormat="1" applyFont="1" applyFill="1" applyBorder="1" applyAlignment="1">
      <alignment vertical="center"/>
    </xf>
    <xf numFmtId="0" fontId="49" fillId="0" borderId="58" xfId="0" applyFont="1" applyBorder="1" applyAlignment="1">
      <alignment vertical="center" wrapText="1"/>
    </xf>
    <xf numFmtId="0" fontId="44" fillId="0" borderId="8" xfId="0" applyFont="1" applyBorder="1" applyAlignment="1">
      <alignment horizontal="center" vertical="center" wrapText="1"/>
    </xf>
    <xf numFmtId="3" fontId="46" fillId="0" borderId="1" xfId="0" applyNumberFormat="1" applyFont="1" applyBorder="1" applyAlignment="1">
      <alignment vertical="center"/>
    </xf>
    <xf numFmtId="3" fontId="47" fillId="0" borderId="1" xfId="0" applyNumberFormat="1" applyFont="1" applyFill="1" applyBorder="1" applyAlignment="1">
      <alignment vertical="center"/>
    </xf>
    <xf numFmtId="3" fontId="46" fillId="0" borderId="9" xfId="0" applyNumberFormat="1" applyFont="1" applyBorder="1" applyAlignment="1">
      <alignment vertical="center"/>
    </xf>
    <xf numFmtId="3" fontId="46" fillId="0" borderId="38" xfId="0" applyNumberFormat="1" applyFont="1" applyBorder="1" applyAlignment="1">
      <alignment vertical="center"/>
    </xf>
    <xf numFmtId="0" fontId="49" fillId="0" borderId="38" xfId="0" applyFont="1" applyBorder="1" applyAlignment="1">
      <alignment vertical="center" wrapText="1"/>
    </xf>
    <xf numFmtId="3" fontId="50" fillId="0" borderId="9" xfId="0" applyNumberFormat="1" applyFont="1" applyFill="1" applyBorder="1" applyAlignment="1">
      <alignment vertical="center"/>
    </xf>
    <xf numFmtId="3" fontId="50" fillId="0" borderId="38" xfId="0" applyNumberFormat="1" applyFont="1" applyFill="1" applyBorder="1" applyAlignment="1">
      <alignment vertical="center"/>
    </xf>
    <xf numFmtId="0" fontId="44" fillId="0" borderId="58" xfId="0" applyFont="1" applyBorder="1" applyAlignment="1">
      <alignment horizontal="center" vertical="center" wrapText="1"/>
    </xf>
    <xf numFmtId="0" fontId="51" fillId="0" borderId="52" xfId="0" applyFont="1" applyBorder="1" applyAlignment="1">
      <alignment vertical="center" wrapText="1"/>
    </xf>
    <xf numFmtId="0" fontId="51" fillId="0" borderId="11" xfId="0" applyFont="1" applyBorder="1" applyAlignment="1">
      <alignment vertical="center" wrapText="1"/>
    </xf>
    <xf numFmtId="3" fontId="3" fillId="0" borderId="59" xfId="0" applyNumberFormat="1" applyFont="1" applyBorder="1" applyAlignment="1">
      <alignment vertical="center"/>
    </xf>
    <xf numFmtId="3" fontId="3" fillId="0" borderId="60" xfId="0" applyNumberFormat="1" applyFont="1" applyBorder="1" applyAlignment="1">
      <alignment vertical="center"/>
    </xf>
    <xf numFmtId="3" fontId="3" fillId="0" borderId="61" xfId="0" applyNumberFormat="1" applyFont="1" applyBorder="1" applyAlignment="1">
      <alignment vertical="center"/>
    </xf>
    <xf numFmtId="0" fontId="51" fillId="0" borderId="12" xfId="0" applyFont="1" applyBorder="1" applyAlignment="1">
      <alignment vertical="center" wrapText="1"/>
    </xf>
    <xf numFmtId="0" fontId="49" fillId="0" borderId="60" xfId="0" applyFont="1" applyBorder="1" applyAlignment="1">
      <alignment vertical="center" wrapText="1"/>
    </xf>
    <xf numFmtId="3" fontId="50" fillId="0" borderId="60" xfId="0" applyNumberFormat="1" applyFont="1" applyFill="1" applyBorder="1" applyAlignment="1">
      <alignment vertical="center"/>
    </xf>
    <xf numFmtId="3" fontId="46" fillId="0" borderId="62" xfId="0" applyNumberFormat="1" applyFont="1" applyBorder="1" applyAlignment="1">
      <alignment vertical="center"/>
    </xf>
    <xf numFmtId="3" fontId="46" fillId="0" borderId="19" xfId="0" applyNumberFormat="1" applyFont="1" applyBorder="1" applyAlignment="1">
      <alignment vertical="center"/>
    </xf>
    <xf numFmtId="3" fontId="46" fillId="0" borderId="20" xfId="0" applyNumberFormat="1" applyFont="1" applyBorder="1" applyAlignment="1">
      <alignment vertical="center"/>
    </xf>
    <xf numFmtId="3" fontId="47" fillId="0" borderId="19" xfId="0" applyNumberFormat="1" applyFont="1" applyFill="1" applyBorder="1" applyAlignment="1">
      <alignment vertical="center"/>
    </xf>
    <xf numFmtId="0" fontId="43" fillId="0" borderId="0" xfId="0" applyFont="1" applyBorder="1" applyAlignment="1">
      <alignment horizontal="right" vertical="center" wrapText="1"/>
    </xf>
    <xf numFmtId="3" fontId="46" fillId="0" borderId="0" xfId="0" applyNumberFormat="1" applyFont="1" applyBorder="1" applyAlignment="1">
      <alignment vertical="center"/>
    </xf>
    <xf numFmtId="3" fontId="47" fillId="0" borderId="0" xfId="0" applyNumberFormat="1" applyFont="1" applyFill="1" applyBorder="1" applyAlignment="1">
      <alignment vertical="center"/>
    </xf>
    <xf numFmtId="3" fontId="23" fillId="0" borderId="0" xfId="0" applyNumberFormat="1" applyFont="1" applyBorder="1"/>
    <xf numFmtId="3" fontId="24" fillId="0" borderId="0" xfId="0" applyNumberFormat="1" applyFont="1" applyBorder="1"/>
    <xf numFmtId="3" fontId="24" fillId="0" borderId="0" xfId="0" applyNumberFormat="1" applyFont="1" applyFill="1" applyBorder="1"/>
    <xf numFmtId="0" fontId="23" fillId="0" borderId="0" xfId="0" applyFont="1" applyFill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Border="1"/>
    <xf numFmtId="0" fontId="52" fillId="0" borderId="0" xfId="0" applyFont="1"/>
    <xf numFmtId="3" fontId="53" fillId="0" borderId="0" xfId="0" applyNumberFormat="1" applyFont="1"/>
    <xf numFmtId="3" fontId="34" fillId="0" borderId="0" xfId="0" applyNumberFormat="1" applyFont="1"/>
    <xf numFmtId="3" fontId="23" fillId="0" borderId="0" xfId="0" applyNumberFormat="1" applyFont="1"/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3" fontId="37" fillId="0" borderId="26" xfId="0" applyNumberFormat="1" applyFont="1" applyFill="1" applyBorder="1" applyAlignment="1">
      <alignment horizontal="right" vertical="center"/>
    </xf>
    <xf numFmtId="3" fontId="58" fillId="0" borderId="24" xfId="0" applyNumberFormat="1" applyFont="1" applyBorder="1" applyAlignment="1">
      <alignment horizontal="right" vertical="center"/>
    </xf>
    <xf numFmtId="3" fontId="58" fillId="0" borderId="24" xfId="0" applyNumberFormat="1" applyFont="1" applyFill="1" applyBorder="1" applyAlignment="1">
      <alignment horizontal="right" vertical="center"/>
    </xf>
    <xf numFmtId="3" fontId="58" fillId="0" borderId="26" xfId="0" applyNumberFormat="1" applyFont="1" applyFill="1" applyBorder="1" applyAlignment="1">
      <alignment horizontal="right" vertical="center"/>
    </xf>
    <xf numFmtId="0" fontId="40" fillId="0" borderId="33" xfId="0" applyFont="1" applyBorder="1" applyAlignment="1">
      <alignment horizontal="right" vertical="center" wrapText="1"/>
    </xf>
    <xf numFmtId="165" fontId="23" fillId="0" borderId="33" xfId="0" applyNumberFormat="1" applyFont="1" applyBorder="1" applyAlignment="1">
      <alignment vertical="center" wrapText="1"/>
    </xf>
    <xf numFmtId="10" fontId="23" fillId="0" borderId="33" xfId="0" applyNumberFormat="1" applyFont="1" applyBorder="1" applyAlignment="1">
      <alignment vertical="center" wrapText="1"/>
    </xf>
    <xf numFmtId="10" fontId="23" fillId="0" borderId="47" xfId="0" applyNumberFormat="1" applyFont="1" applyBorder="1" applyAlignment="1">
      <alignment horizontal="right" vertical="center" wrapText="1"/>
    </xf>
    <xf numFmtId="3" fontId="59" fillId="0" borderId="24" xfId="0" applyNumberFormat="1" applyFont="1" applyBorder="1" applyAlignment="1">
      <alignment horizontal="right" vertical="center"/>
    </xf>
    <xf numFmtId="4" fontId="30" fillId="0" borderId="1" xfId="0" applyNumberFormat="1" applyFont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40" fillId="0" borderId="33" xfId="0" applyFont="1" applyBorder="1" applyAlignment="1">
      <alignment horizontal="left" vertical="center" wrapText="1"/>
    </xf>
    <xf numFmtId="0" fontId="38" fillId="0" borderId="0" xfId="0" applyFont="1" applyAlignment="1">
      <alignment horizontal="right"/>
    </xf>
    <xf numFmtId="0" fontId="40" fillId="2" borderId="29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23" fillId="0" borderId="33" xfId="0" quotePrefix="1" applyFont="1" applyBorder="1" applyAlignment="1">
      <alignment vertical="center" wrapText="1"/>
    </xf>
    <xf numFmtId="0" fontId="23" fillId="0" borderId="33" xfId="0" quotePrefix="1" applyFont="1" applyBorder="1" applyAlignment="1">
      <alignment horizontal="left" vertical="center" wrapText="1"/>
    </xf>
    <xf numFmtId="0" fontId="23" fillId="0" borderId="44" xfId="0" quotePrefix="1" applyFont="1" applyBorder="1" applyAlignment="1">
      <alignment vertical="center" wrapText="1"/>
    </xf>
    <xf numFmtId="0" fontId="23" fillId="0" borderId="44" xfId="0" quotePrefix="1" applyFont="1" applyBorder="1" applyAlignment="1">
      <alignment horizontal="left" vertical="center" wrapText="1"/>
    </xf>
    <xf numFmtId="3" fontId="57" fillId="0" borderId="1" xfId="0" applyNumberFormat="1" applyFont="1" applyBorder="1" applyAlignment="1">
      <alignment vertical="center"/>
    </xf>
    <xf numFmtId="3" fontId="57" fillId="0" borderId="1" xfId="0" applyNumberFormat="1" applyFont="1" applyFill="1" applyBorder="1" applyAlignment="1">
      <alignment vertical="center"/>
    </xf>
    <xf numFmtId="168" fontId="23" fillId="0" borderId="1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vertical="center"/>
    </xf>
    <xf numFmtId="4" fontId="30" fillId="3" borderId="1" xfId="0" applyNumberFormat="1" applyFont="1" applyFill="1" applyBorder="1" applyAlignment="1">
      <alignment horizontal="right" vertical="center"/>
    </xf>
    <xf numFmtId="0" fontId="23" fillId="0" borderId="1" xfId="0" quotePrefix="1" applyFont="1" applyBorder="1"/>
    <xf numFmtId="3" fontId="23" fillId="0" borderId="1" xfId="0" applyNumberFormat="1" applyFont="1" applyBorder="1"/>
    <xf numFmtId="0" fontId="23" fillId="0" borderId="1" xfId="0" quotePrefix="1" applyFont="1" applyBorder="1" applyAlignment="1">
      <alignment vertical="center" wrapText="1"/>
    </xf>
    <xf numFmtId="0" fontId="23" fillId="0" borderId="1" xfId="0" quotePrefix="1" applyFont="1" applyBorder="1" applyAlignment="1">
      <alignment horizontal="left" vertical="center" wrapText="1"/>
    </xf>
    <xf numFmtId="0" fontId="54" fillId="0" borderId="1" xfId="0" quotePrefix="1" applyFont="1" applyBorder="1"/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23" fillId="0" borderId="10" xfId="0" applyFont="1" applyBorder="1" applyAlignment="1"/>
    <xf numFmtId="0" fontId="23" fillId="0" borderId="55" xfId="0" applyFont="1" applyBorder="1" applyAlignment="1"/>
    <xf numFmtId="0" fontId="61" fillId="0" borderId="0" xfId="0" applyFont="1" applyAlignment="1">
      <alignment horizontal="center"/>
    </xf>
    <xf numFmtId="3" fontId="19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right" wrapText="1"/>
    </xf>
    <xf numFmtId="3" fontId="23" fillId="0" borderId="1" xfId="0" applyNumberFormat="1" applyFont="1" applyFill="1" applyBorder="1"/>
    <xf numFmtId="0" fontId="23" fillId="0" borderId="1" xfId="0" applyFont="1" applyFill="1" applyBorder="1" applyAlignment="1">
      <alignment horizontal="right"/>
    </xf>
    <xf numFmtId="0" fontId="61" fillId="0" borderId="1" xfId="0" applyFont="1" applyBorder="1" applyAlignment="1">
      <alignment horizontal="left" vertical="center" wrapText="1"/>
    </xf>
    <xf numFmtId="3" fontId="56" fillId="0" borderId="1" xfId="0" applyNumberFormat="1" applyFont="1" applyBorder="1" applyAlignment="1">
      <alignment vertical="center"/>
    </xf>
    <xf numFmtId="167" fontId="20" fillId="0" borderId="1" xfId="0" applyNumberFormat="1" applyFont="1" applyBorder="1" applyAlignment="1">
      <alignment horizontal="center" vertical="center"/>
    </xf>
    <xf numFmtId="3" fontId="59" fillId="0" borderId="24" xfId="0" applyNumberFormat="1" applyFont="1" applyFill="1" applyBorder="1" applyAlignment="1">
      <alignment horizontal="right" vertical="center"/>
    </xf>
    <xf numFmtId="3" fontId="23" fillId="0" borderId="33" xfId="0" applyNumberFormat="1" applyFont="1" applyBorder="1" applyAlignment="1">
      <alignment horizontal="right" vertical="center" wrapText="1"/>
    </xf>
    <xf numFmtId="3" fontId="23" fillId="0" borderId="47" xfId="0" applyNumberFormat="1" applyFont="1" applyBorder="1" applyAlignment="1">
      <alignment horizontal="right" vertical="center" wrapText="1"/>
    </xf>
    <xf numFmtId="3" fontId="23" fillId="0" borderId="47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/>
    </xf>
    <xf numFmtId="3" fontId="40" fillId="0" borderId="33" xfId="0" applyNumberFormat="1" applyFont="1" applyBorder="1" applyAlignment="1">
      <alignment horizontal="right" vertical="center" wrapText="1"/>
    </xf>
    <xf numFmtId="0" fontId="49" fillId="0" borderId="52" xfId="0" applyFont="1" applyBorder="1" applyAlignment="1">
      <alignment vertical="center" wrapText="1"/>
    </xf>
    <xf numFmtId="0" fontId="62" fillId="0" borderId="10" xfId="0" applyFont="1" applyBorder="1" applyAlignment="1">
      <alignment vertical="center" wrapText="1"/>
    </xf>
    <xf numFmtId="3" fontId="59" fillId="3" borderId="24" xfId="0" applyNumberFormat="1" applyFont="1" applyFill="1" applyBorder="1" applyAlignment="1">
      <alignment horizontal="right" vertical="center"/>
    </xf>
    <xf numFmtId="3" fontId="59" fillId="0" borderId="26" xfId="0" applyNumberFormat="1" applyFont="1" applyFill="1" applyBorder="1" applyAlignment="1">
      <alignment horizontal="right" vertical="center"/>
    </xf>
    <xf numFmtId="3" fontId="40" fillId="0" borderId="24" xfId="0" applyNumberFormat="1" applyFont="1" applyFill="1" applyBorder="1" applyAlignment="1">
      <alignment horizontal="right" vertical="center"/>
    </xf>
    <xf numFmtId="0" fontId="63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3" fontId="23" fillId="3" borderId="24" xfId="0" applyNumberFormat="1" applyFont="1" applyFill="1" applyBorder="1" applyAlignment="1">
      <alignment horizontal="right" vertical="center"/>
    </xf>
    <xf numFmtId="0" fontId="42" fillId="0" borderId="33" xfId="0" applyFont="1" applyBorder="1" applyAlignment="1">
      <alignment vertical="center" wrapText="1"/>
    </xf>
    <xf numFmtId="3" fontId="40" fillId="0" borderId="23" xfId="0" applyNumberFormat="1" applyFont="1" applyBorder="1" applyAlignment="1">
      <alignment horizontal="right" vertical="center"/>
    </xf>
    <xf numFmtId="3" fontId="40" fillId="0" borderId="48" xfId="0" applyNumberFormat="1" applyFont="1" applyBorder="1" applyAlignment="1">
      <alignment horizontal="right" vertical="center"/>
    </xf>
    <xf numFmtId="0" fontId="40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left" vertical="center" wrapText="1"/>
    </xf>
    <xf numFmtId="0" fontId="38" fillId="0" borderId="0" xfId="0" applyFont="1" applyAlignment="1">
      <alignment horizontal="right"/>
    </xf>
    <xf numFmtId="0" fontId="39" fillId="0" borderId="0" xfId="0" applyFont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0" fontId="40" fillId="0" borderId="39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left" vertical="center" wrapText="1"/>
    </xf>
    <xf numFmtId="0" fontId="23" fillId="0" borderId="4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40" fillId="0" borderId="46" xfId="0" applyFont="1" applyBorder="1" applyAlignment="1">
      <alignment horizontal="left" vertical="center" wrapText="1"/>
    </xf>
    <xf numFmtId="0" fontId="40" fillId="0" borderId="4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36" xfId="0" applyFont="1" applyBorder="1" applyAlignment="1">
      <alignment horizontal="right" vertical="center" wrapText="1"/>
    </xf>
    <xf numFmtId="0" fontId="43" fillId="0" borderId="62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/>
    </xf>
    <xf numFmtId="0" fontId="61" fillId="0" borderId="1" xfId="0" applyFont="1" applyBorder="1" applyAlignment="1">
      <alignment horizontal="left" vertical="center"/>
    </xf>
    <xf numFmtId="0" fontId="55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27" fillId="0" borderId="0" xfId="0" applyNumberFormat="1" applyFont="1" applyAlignment="1">
      <alignment horizontal="left"/>
    </xf>
    <xf numFmtId="0" fontId="29" fillId="0" borderId="41" xfId="0" applyFont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8" fillId="0" borderId="2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80" zoomScaleNormal="80" workbookViewId="0">
      <selection activeCell="E47" sqref="E47:M60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3.625" hidden="1" customWidth="1"/>
    <col min="5" max="5" width="14.125" customWidth="1"/>
    <col min="6" max="12" width="12.875" customWidth="1"/>
    <col min="13" max="13" width="13.375" customWidth="1"/>
  </cols>
  <sheetData>
    <row r="1" spans="1:13" ht="18.75">
      <c r="A1" s="374" t="s">
        <v>185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ht="23.25" customHeight="1">
      <c r="A2" s="375" t="s">
        <v>186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 ht="19.5" thickBot="1">
      <c r="A3" s="172"/>
      <c r="B3" s="172"/>
      <c r="C3" s="172"/>
      <c r="D3" s="172"/>
      <c r="M3" s="320" t="s">
        <v>14</v>
      </c>
    </row>
    <row r="4" spans="1:13" ht="27" customHeight="1" thickBot="1">
      <c r="A4" s="174" t="s">
        <v>140</v>
      </c>
      <c r="B4" s="376" t="s">
        <v>92</v>
      </c>
      <c r="C4" s="377"/>
      <c r="D4" s="321">
        <v>2011</v>
      </c>
      <c r="E4" s="85">
        <v>2012</v>
      </c>
      <c r="F4" s="85">
        <v>2013</v>
      </c>
      <c r="G4" s="85">
        <v>2014</v>
      </c>
      <c r="H4" s="85">
        <v>2015</v>
      </c>
      <c r="I4" s="85">
        <v>2016</v>
      </c>
      <c r="J4" s="85">
        <v>2017</v>
      </c>
      <c r="K4" s="85">
        <v>2018</v>
      </c>
      <c r="L4" s="85">
        <v>2019</v>
      </c>
      <c r="M4" s="322">
        <v>2020</v>
      </c>
    </row>
    <row r="5" spans="1:13" ht="26.25" customHeight="1">
      <c r="A5" s="176">
        <v>1</v>
      </c>
      <c r="B5" s="378" t="s">
        <v>187</v>
      </c>
      <c r="C5" s="379"/>
      <c r="D5" s="177">
        <f>D6+D7</f>
        <v>1375150127</v>
      </c>
      <c r="E5" s="177">
        <f>E6+E7</f>
        <v>1329207513</v>
      </c>
      <c r="F5" s="177">
        <f t="shared" ref="F5:M5" si="0">F6+F7</f>
        <v>1663929585</v>
      </c>
      <c r="G5" s="177">
        <f t="shared" si="0"/>
        <v>1451014436</v>
      </c>
      <c r="H5" s="177">
        <f t="shared" si="0"/>
        <v>906761827</v>
      </c>
      <c r="I5" s="177">
        <f t="shared" si="0"/>
        <v>870410726</v>
      </c>
      <c r="J5" s="177">
        <f t="shared" si="0"/>
        <v>878320707</v>
      </c>
      <c r="K5" s="177">
        <f t="shared" si="0"/>
        <v>883993380</v>
      </c>
      <c r="L5" s="177">
        <f t="shared" si="0"/>
        <v>889387133</v>
      </c>
      <c r="M5" s="177">
        <f t="shared" si="0"/>
        <v>895191654</v>
      </c>
    </row>
    <row r="6" spans="1:13" ht="19.5" customHeight="1">
      <c r="A6" s="380"/>
      <c r="B6" s="178" t="s">
        <v>188</v>
      </c>
      <c r="C6" s="179" t="s">
        <v>189</v>
      </c>
      <c r="D6" s="180">
        <f>'DANE ZBIORCZE'!C52</f>
        <v>1061349650</v>
      </c>
      <c r="E6" s="180">
        <f>'DANE ZBIORCZE'!D52</f>
        <v>1117609768</v>
      </c>
      <c r="F6" s="180">
        <f>'DANE ZBIORCZE'!E52</f>
        <v>983793415</v>
      </c>
      <c r="G6" s="180">
        <f>'DANE ZBIORCZE'!F52</f>
        <v>903869144</v>
      </c>
      <c r="H6" s="180">
        <f>'DANE ZBIORCZE'!G52</f>
        <v>881026706</v>
      </c>
      <c r="I6" s="180">
        <f>'DANE ZBIORCZE'!H52</f>
        <v>848468126</v>
      </c>
      <c r="J6" s="180">
        <f>'DANE ZBIORCZE'!I52</f>
        <v>854278107</v>
      </c>
      <c r="K6" s="180">
        <f>'DANE ZBIORCZE'!J52</f>
        <v>859950780</v>
      </c>
      <c r="L6" s="180">
        <f>'DANE ZBIORCZE'!K52</f>
        <v>865494533</v>
      </c>
      <c r="M6" s="180">
        <f>'DANE ZBIORCZE'!L52</f>
        <v>871299054</v>
      </c>
    </row>
    <row r="7" spans="1:13" ht="19.5" customHeight="1">
      <c r="A7" s="381"/>
      <c r="B7" s="178" t="s">
        <v>190</v>
      </c>
      <c r="C7" s="179" t="s">
        <v>191</v>
      </c>
      <c r="D7" s="180">
        <f>'DANE ZBIORCZE'!C53</f>
        <v>313800477</v>
      </c>
      <c r="E7" s="180">
        <f>'DANE ZBIORCZE'!D53</f>
        <v>211597745</v>
      </c>
      <c r="F7" s="180">
        <f>'DANE ZBIORCZE'!E53</f>
        <v>680136170</v>
      </c>
      <c r="G7" s="180">
        <f>'DANE ZBIORCZE'!F53</f>
        <v>547145292</v>
      </c>
      <c r="H7" s="180">
        <f>'DANE ZBIORCZE'!G53</f>
        <v>25735121</v>
      </c>
      <c r="I7" s="180">
        <f>'DANE ZBIORCZE'!H53</f>
        <v>21942600</v>
      </c>
      <c r="J7" s="180">
        <f>'DANE ZBIORCZE'!I53</f>
        <v>24042600</v>
      </c>
      <c r="K7" s="180">
        <f>'DANE ZBIORCZE'!J53</f>
        <v>24042600</v>
      </c>
      <c r="L7" s="180">
        <f>'DANE ZBIORCZE'!K53</f>
        <v>23892600</v>
      </c>
      <c r="M7" s="180">
        <f>'DANE ZBIORCZE'!L53</f>
        <v>23892600</v>
      </c>
    </row>
    <row r="8" spans="1:13" ht="19.5" customHeight="1">
      <c r="A8" s="382"/>
      <c r="B8" s="181"/>
      <c r="C8" s="325" t="s">
        <v>300</v>
      </c>
      <c r="D8" s="180">
        <f>'DANE ZBIORCZE'!C24</f>
        <v>5097400</v>
      </c>
      <c r="E8" s="368">
        <f>'DANE ZBIORCZE'!D24</f>
        <v>5118720</v>
      </c>
      <c r="F8" s="180">
        <f>'DANE ZBIORCZE'!E24</f>
        <v>3746600</v>
      </c>
      <c r="G8" s="180">
        <f>'DANE ZBIORCZE'!F24</f>
        <v>5621600</v>
      </c>
      <c r="H8" s="180">
        <f>'DANE ZBIORCZE'!G24</f>
        <v>2221600</v>
      </c>
      <c r="I8" s="180">
        <f>'DANE ZBIORCZE'!H24</f>
        <v>3446600</v>
      </c>
      <c r="J8" s="180">
        <f>'DANE ZBIORCZE'!I24</f>
        <v>5546600</v>
      </c>
      <c r="K8" s="180">
        <f>'DANE ZBIORCZE'!J24</f>
        <v>5546600</v>
      </c>
      <c r="L8" s="180">
        <f>'DANE ZBIORCZE'!K24</f>
        <v>5396600</v>
      </c>
      <c r="M8" s="180">
        <f>'DANE ZBIORCZE'!L24</f>
        <v>5396600</v>
      </c>
    </row>
    <row r="9" spans="1:13" ht="26.25" customHeight="1">
      <c r="A9" s="176">
        <v>2</v>
      </c>
      <c r="B9" s="372" t="s">
        <v>194</v>
      </c>
      <c r="C9" s="373"/>
      <c r="D9" s="182">
        <f>D10+D16</f>
        <v>1641483284</v>
      </c>
      <c r="E9" s="182">
        <f>E10+E16</f>
        <v>1638575999</v>
      </c>
      <c r="F9" s="182">
        <f t="shared" ref="F9:M9" si="1">F10+F16</f>
        <v>1682712680</v>
      </c>
      <c r="G9" s="182">
        <f t="shared" si="1"/>
        <v>1388816228</v>
      </c>
      <c r="H9" s="182">
        <f t="shared" si="1"/>
        <v>814256551</v>
      </c>
      <c r="I9" s="182">
        <f t="shared" si="1"/>
        <v>777905450</v>
      </c>
      <c r="J9" s="182">
        <f t="shared" si="1"/>
        <v>785815431</v>
      </c>
      <c r="K9" s="182">
        <f t="shared" si="1"/>
        <v>791488104</v>
      </c>
      <c r="L9" s="182">
        <f t="shared" si="1"/>
        <v>796881857</v>
      </c>
      <c r="M9" s="182">
        <f t="shared" si="1"/>
        <v>802686358</v>
      </c>
    </row>
    <row r="10" spans="1:13" ht="19.5" customHeight="1">
      <c r="A10" s="380"/>
      <c r="B10" s="197" t="s">
        <v>188</v>
      </c>
      <c r="C10" s="369" t="s">
        <v>327</v>
      </c>
      <c r="D10" s="183">
        <f>'DANE ZBIORCZE'!C55</f>
        <v>935540107</v>
      </c>
      <c r="E10" s="183">
        <f>'DANE ZBIORCZE'!D55</f>
        <v>963031279</v>
      </c>
      <c r="F10" s="183">
        <f>'DANE ZBIORCZE'!E55</f>
        <v>583069383</v>
      </c>
      <c r="G10" s="183">
        <f>'DANE ZBIORCZE'!F55</f>
        <v>576279710</v>
      </c>
      <c r="H10" s="183">
        <f>'DANE ZBIORCZE'!G55</f>
        <v>539862182</v>
      </c>
      <c r="I10" s="183">
        <f>'DANE ZBIORCZE'!H55</f>
        <v>544691807</v>
      </c>
      <c r="J10" s="183">
        <f>'DANE ZBIORCZE'!I55</f>
        <v>552001591</v>
      </c>
      <c r="K10" s="183">
        <f>'DANE ZBIORCZE'!J55</f>
        <v>559178418</v>
      </c>
      <c r="L10" s="183">
        <f>'DANE ZBIORCZE'!K55</f>
        <v>566557614</v>
      </c>
      <c r="M10" s="183">
        <f>'DANE ZBIORCZE'!L55</f>
        <v>574250140</v>
      </c>
    </row>
    <row r="11" spans="1:13" ht="19.5" customHeight="1">
      <c r="A11" s="381"/>
      <c r="B11" s="178"/>
      <c r="C11" s="325" t="s">
        <v>293</v>
      </c>
      <c r="D11" s="180">
        <v>232844925</v>
      </c>
      <c r="E11" s="352">
        <v>251594395</v>
      </c>
      <c r="F11" s="352">
        <v>251594395</v>
      </c>
      <c r="G11" s="352">
        <v>251594395</v>
      </c>
      <c r="H11" s="352">
        <v>251594395</v>
      </c>
      <c r="I11" s="352">
        <v>251594395</v>
      </c>
      <c r="J11" s="352">
        <v>251594395</v>
      </c>
      <c r="K11" s="352">
        <v>251594395</v>
      </c>
      <c r="L11" s="352">
        <v>251594395</v>
      </c>
      <c r="M11" s="352">
        <v>251594395</v>
      </c>
    </row>
    <row r="12" spans="1:13" ht="19.5" customHeight="1">
      <c r="A12" s="381"/>
      <c r="B12" s="178"/>
      <c r="C12" s="325" t="s">
        <v>294</v>
      </c>
      <c r="D12" s="184">
        <v>105626584</v>
      </c>
      <c r="E12" s="352">
        <v>109936318</v>
      </c>
      <c r="F12" s="352">
        <v>109936318</v>
      </c>
      <c r="G12" s="352">
        <v>109936318</v>
      </c>
      <c r="H12" s="352">
        <v>109936318</v>
      </c>
      <c r="I12" s="352">
        <v>109936318</v>
      </c>
      <c r="J12" s="352">
        <v>109936318</v>
      </c>
      <c r="K12" s="352">
        <v>109936318</v>
      </c>
      <c r="L12" s="352">
        <v>109936318</v>
      </c>
      <c r="M12" s="352">
        <v>109936318</v>
      </c>
    </row>
    <row r="13" spans="1:13" ht="19.5" customHeight="1">
      <c r="A13" s="381"/>
      <c r="B13" s="178"/>
      <c r="C13" s="325" t="s">
        <v>295</v>
      </c>
      <c r="D13" s="184">
        <v>8100000</v>
      </c>
      <c r="E13" s="361">
        <v>8100000</v>
      </c>
      <c r="F13" s="361">
        <v>8100000</v>
      </c>
      <c r="G13" s="361">
        <v>8100000</v>
      </c>
      <c r="H13" s="361">
        <v>8100000</v>
      </c>
      <c r="I13" s="361">
        <v>8100000</v>
      </c>
      <c r="J13" s="361">
        <v>8100000</v>
      </c>
      <c r="K13" s="361">
        <v>8100000</v>
      </c>
      <c r="L13" s="361">
        <v>8100000</v>
      </c>
      <c r="M13" s="361">
        <v>8100000</v>
      </c>
    </row>
    <row r="14" spans="1:13" ht="19.5" customHeight="1">
      <c r="A14" s="381"/>
      <c r="B14" s="178"/>
      <c r="C14" s="326" t="s">
        <v>296</v>
      </c>
      <c r="D14" s="352">
        <f>'Koszty kredytów'!D25+'Koszty kredytów'!D33+18709</f>
        <v>10721590.457652055</v>
      </c>
      <c r="E14" s="315">
        <f>'Koszty kredytów'!E25+'Koszty kredytów'!E33</f>
        <v>24154789.766126849</v>
      </c>
      <c r="F14" s="315">
        <f>'Koszty kredytów'!F25+'Koszty kredytów'!F33</f>
        <v>36492094.703063019</v>
      </c>
      <c r="G14" s="315">
        <f>'Koszty kredytów'!G25+'Koszty kredytów'!G33</f>
        <v>32607929.466335613</v>
      </c>
      <c r="H14" s="315">
        <f>'Koszty kredytów'!H25+'Koszty kredytów'!H33</f>
        <v>26177630.536109593</v>
      </c>
      <c r="I14" s="315">
        <f>'Koszty kredytów'!I25+'Koszty kredytów'!I33</f>
        <v>22340726.892493147</v>
      </c>
      <c r="J14" s="315">
        <f>'Koszty kredytów'!J25+'Koszty kredytów'!J33</f>
        <v>17803896.488876712</v>
      </c>
      <c r="K14" s="315">
        <f>'Koszty kredytów'!K25+'Koszty kredytów'!K33</f>
        <v>12679872.521424659</v>
      </c>
      <c r="L14" s="315">
        <f>'Koszty kredytów'!L25+'Koszty kredytów'!L33</f>
        <v>7502694.4592876714</v>
      </c>
      <c r="M14" s="315">
        <f>'Koszty kredytów'!M25+'Koszty kredytów'!M33</f>
        <v>1801412.3495342468</v>
      </c>
    </row>
    <row r="15" spans="1:13" ht="19.5" customHeight="1">
      <c r="A15" s="381"/>
      <c r="B15" s="178"/>
      <c r="C15" s="327" t="s">
        <v>319</v>
      </c>
      <c r="D15" s="187">
        <v>264386504</v>
      </c>
      <c r="E15" s="362">
        <v>318112536</v>
      </c>
      <c r="F15" s="352">
        <v>112101102</v>
      </c>
      <c r="G15" s="352">
        <v>60578697</v>
      </c>
      <c r="H15" s="352">
        <v>39006817</v>
      </c>
      <c r="I15" s="352">
        <v>13697219</v>
      </c>
      <c r="J15" s="352">
        <v>12106395</v>
      </c>
      <c r="K15" s="352">
        <v>11717596</v>
      </c>
      <c r="L15" s="352">
        <v>11627650</v>
      </c>
      <c r="M15" s="352">
        <v>11672767</v>
      </c>
    </row>
    <row r="16" spans="1:13" ht="19.5" customHeight="1">
      <c r="A16" s="381"/>
      <c r="B16" s="197" t="s">
        <v>190</v>
      </c>
      <c r="C16" s="179" t="s">
        <v>202</v>
      </c>
      <c r="D16" s="182">
        <f>'DANE ZBIORCZE'!C56</f>
        <v>705943177</v>
      </c>
      <c r="E16" s="363">
        <f>'DANE ZBIORCZE'!D56</f>
        <v>675544720</v>
      </c>
      <c r="F16" s="363">
        <f>'DANE ZBIORCZE'!E56</f>
        <v>1099643297</v>
      </c>
      <c r="G16" s="363">
        <f>'DANE ZBIORCZE'!F56</f>
        <v>812536518</v>
      </c>
      <c r="H16" s="363">
        <f>'DANE ZBIORCZE'!G56</f>
        <v>274394369</v>
      </c>
      <c r="I16" s="363">
        <f>'DANE ZBIORCZE'!H56</f>
        <v>233213643</v>
      </c>
      <c r="J16" s="363">
        <f>'DANE ZBIORCZE'!I56</f>
        <v>233813840</v>
      </c>
      <c r="K16" s="363">
        <f>'DANE ZBIORCZE'!J56</f>
        <v>232309686</v>
      </c>
      <c r="L16" s="363">
        <f>'DANE ZBIORCZE'!K56</f>
        <v>230324243</v>
      </c>
      <c r="M16" s="363">
        <f>'DANE ZBIORCZE'!L56</f>
        <v>228436218</v>
      </c>
    </row>
    <row r="17" spans="1:13" ht="19.5" customHeight="1">
      <c r="A17" s="382"/>
      <c r="B17" s="178"/>
      <c r="C17" s="328" t="s">
        <v>320</v>
      </c>
      <c r="D17" s="180">
        <f>459057825</f>
        <v>459057825</v>
      </c>
      <c r="E17" s="352">
        <v>565289798</v>
      </c>
      <c r="F17" s="352">
        <v>1070105392</v>
      </c>
      <c r="G17" s="352">
        <v>655891705</v>
      </c>
      <c r="H17" s="352">
        <v>98645750</v>
      </c>
      <c r="I17" s="352">
        <v>7274064</v>
      </c>
      <c r="J17" s="352">
        <v>0</v>
      </c>
      <c r="K17" s="352">
        <v>0</v>
      </c>
      <c r="L17" s="352">
        <v>0</v>
      </c>
      <c r="M17" s="352">
        <v>0</v>
      </c>
    </row>
    <row r="18" spans="1:13" ht="26.25" customHeight="1">
      <c r="A18" s="189">
        <v>3</v>
      </c>
      <c r="B18" s="372" t="s">
        <v>205</v>
      </c>
      <c r="C18" s="373"/>
      <c r="D18" s="182">
        <f>D5-D9</f>
        <v>-266333157</v>
      </c>
      <c r="E18" s="182">
        <f>E5-E9</f>
        <v>-309368486</v>
      </c>
      <c r="F18" s="182">
        <f t="shared" ref="F18:M19" si="2">F5-F9</f>
        <v>-18783095</v>
      </c>
      <c r="G18" s="182">
        <f t="shared" si="2"/>
        <v>62198208</v>
      </c>
      <c r="H18" s="182">
        <f t="shared" si="2"/>
        <v>92505276</v>
      </c>
      <c r="I18" s="182">
        <f t="shared" si="2"/>
        <v>92505276</v>
      </c>
      <c r="J18" s="182">
        <f t="shared" si="2"/>
        <v>92505276</v>
      </c>
      <c r="K18" s="182">
        <f t="shared" si="2"/>
        <v>92505276</v>
      </c>
      <c r="L18" s="182">
        <f t="shared" si="2"/>
        <v>92505276</v>
      </c>
      <c r="M18" s="182">
        <f t="shared" si="2"/>
        <v>92505296</v>
      </c>
    </row>
    <row r="19" spans="1:13" ht="26.25" customHeight="1">
      <c r="A19" s="176">
        <v>4</v>
      </c>
      <c r="B19" s="372" t="s">
        <v>206</v>
      </c>
      <c r="C19" s="373"/>
      <c r="D19" s="182">
        <f>D6-D10</f>
        <v>125809543</v>
      </c>
      <c r="E19" s="182">
        <f>E6-E10</f>
        <v>154578489</v>
      </c>
      <c r="F19" s="182">
        <f t="shared" si="2"/>
        <v>400724032</v>
      </c>
      <c r="G19" s="182">
        <f t="shared" si="2"/>
        <v>327589434</v>
      </c>
      <c r="H19" s="182">
        <f t="shared" si="2"/>
        <v>341164524</v>
      </c>
      <c r="I19" s="182">
        <f t="shared" si="2"/>
        <v>303776319</v>
      </c>
      <c r="J19" s="182">
        <f t="shared" si="2"/>
        <v>302276516</v>
      </c>
      <c r="K19" s="182">
        <f t="shared" si="2"/>
        <v>300772362</v>
      </c>
      <c r="L19" s="182">
        <f t="shared" si="2"/>
        <v>298936919</v>
      </c>
      <c r="M19" s="182">
        <f t="shared" si="2"/>
        <v>297048914</v>
      </c>
    </row>
    <row r="20" spans="1:13" ht="26.25" customHeight="1">
      <c r="A20" s="176">
        <v>5</v>
      </c>
      <c r="B20" s="372" t="s">
        <v>207</v>
      </c>
      <c r="C20" s="373"/>
      <c r="D20" s="182">
        <f>SUM(D21,D25)</f>
        <v>291165458</v>
      </c>
      <c r="E20" s="182">
        <f t="shared" ref="E20:M20" si="3">SUM(E21,E25)</f>
        <v>357895295</v>
      </c>
      <c r="F20" s="182">
        <f t="shared" si="3"/>
        <v>100653775</v>
      </c>
      <c r="G20" s="182">
        <f t="shared" si="3"/>
        <v>32965444</v>
      </c>
      <c r="H20" s="182">
        <f t="shared" si="3"/>
        <v>0</v>
      </c>
      <c r="I20" s="182">
        <f t="shared" si="3"/>
        <v>0</v>
      </c>
      <c r="J20" s="182">
        <f t="shared" si="3"/>
        <v>0</v>
      </c>
      <c r="K20" s="182">
        <f t="shared" si="3"/>
        <v>0</v>
      </c>
      <c r="L20" s="182">
        <f t="shared" si="3"/>
        <v>0</v>
      </c>
      <c r="M20" s="182">
        <f t="shared" si="3"/>
        <v>0</v>
      </c>
    </row>
    <row r="21" spans="1:13" ht="19.5" customHeight="1">
      <c r="A21" s="380"/>
      <c r="B21" s="190" t="s">
        <v>188</v>
      </c>
      <c r="C21" s="179" t="s">
        <v>208</v>
      </c>
      <c r="D21" s="180">
        <f>SUM(D22:D24)</f>
        <v>94521625</v>
      </c>
      <c r="E21" s="180">
        <f t="shared" ref="E21:M21" si="4">SUM(E22:E24)</f>
        <v>55144295</v>
      </c>
      <c r="F21" s="180">
        <f t="shared" si="4"/>
        <v>7601638</v>
      </c>
      <c r="G21" s="180">
        <f t="shared" si="4"/>
        <v>916664</v>
      </c>
      <c r="H21" s="180">
        <f t="shared" si="4"/>
        <v>0</v>
      </c>
      <c r="I21" s="180">
        <f t="shared" si="4"/>
        <v>0</v>
      </c>
      <c r="J21" s="180">
        <f t="shared" si="4"/>
        <v>0</v>
      </c>
      <c r="K21" s="180">
        <f t="shared" si="4"/>
        <v>0</v>
      </c>
      <c r="L21" s="180">
        <f t="shared" si="4"/>
        <v>0</v>
      </c>
      <c r="M21" s="180">
        <f t="shared" si="4"/>
        <v>0</v>
      </c>
    </row>
    <row r="22" spans="1:13" ht="19.5" customHeight="1">
      <c r="A22" s="381"/>
      <c r="B22" s="191"/>
      <c r="C22" s="327" t="s">
        <v>297</v>
      </c>
      <c r="D22" s="180">
        <f>'DANE ZBIORCZE'!C58</f>
        <v>0</v>
      </c>
      <c r="E22" s="180">
        <f>'DANE ZBIORCZE'!D58</f>
        <v>0</v>
      </c>
      <c r="F22" s="180">
        <f>'DANE ZBIORCZE'!E58</f>
        <v>0</v>
      </c>
      <c r="G22" s="180">
        <f>'DANE ZBIORCZE'!F58</f>
        <v>0</v>
      </c>
      <c r="H22" s="180">
        <f>'DANE ZBIORCZE'!G58</f>
        <v>0</v>
      </c>
      <c r="I22" s="180">
        <f>'DANE ZBIORCZE'!H58</f>
        <v>0</v>
      </c>
      <c r="J22" s="180">
        <f>'DANE ZBIORCZE'!I58</f>
        <v>0</v>
      </c>
      <c r="K22" s="180">
        <f>'DANE ZBIORCZE'!J58</f>
        <v>0</v>
      </c>
      <c r="L22" s="180">
        <f>'DANE ZBIORCZE'!K58</f>
        <v>0</v>
      </c>
      <c r="M22" s="180">
        <f>'DANE ZBIORCZE'!L58</f>
        <v>0</v>
      </c>
    </row>
    <row r="23" spans="1:13" ht="19.5" customHeight="1">
      <c r="A23" s="381"/>
      <c r="B23" s="178"/>
      <c r="C23" s="325" t="s">
        <v>298</v>
      </c>
      <c r="D23" s="180">
        <f>'DANE ZBIORCZE'!C59</f>
        <v>79310061</v>
      </c>
      <c r="E23" s="180">
        <f>'DANE ZBIORCZE'!D59</f>
        <v>46714074</v>
      </c>
      <c r="F23" s="180">
        <f>'DANE ZBIORCZE'!E59</f>
        <v>0</v>
      </c>
      <c r="G23" s="180">
        <f>'DANE ZBIORCZE'!F59</f>
        <v>0</v>
      </c>
      <c r="H23" s="180">
        <f>'DANE ZBIORCZE'!G59</f>
        <v>0</v>
      </c>
      <c r="I23" s="180">
        <f>'DANE ZBIORCZE'!H59</f>
        <v>0</v>
      </c>
      <c r="J23" s="180">
        <f>'DANE ZBIORCZE'!I59</f>
        <v>0</v>
      </c>
      <c r="K23" s="180">
        <f>'DANE ZBIORCZE'!J59</f>
        <v>0</v>
      </c>
      <c r="L23" s="180">
        <f>'DANE ZBIORCZE'!K59</f>
        <v>0</v>
      </c>
      <c r="M23" s="180">
        <f>'DANE ZBIORCZE'!L59</f>
        <v>0</v>
      </c>
    </row>
    <row r="24" spans="1:13" ht="19.5" customHeight="1">
      <c r="A24" s="381"/>
      <c r="B24" s="178"/>
      <c r="C24" s="326" t="s">
        <v>299</v>
      </c>
      <c r="D24" s="180">
        <f>'DANE ZBIORCZE'!C60</f>
        <v>15211564</v>
      </c>
      <c r="E24" s="180">
        <f>'DANE ZBIORCZE'!D60</f>
        <v>8430221</v>
      </c>
      <c r="F24" s="180">
        <f>'DANE ZBIORCZE'!E60</f>
        <v>7601638</v>
      </c>
      <c r="G24" s="180">
        <f>'DANE ZBIORCZE'!F60</f>
        <v>916664</v>
      </c>
      <c r="H24" s="180">
        <f>'DANE ZBIORCZE'!G60</f>
        <v>0</v>
      </c>
      <c r="I24" s="180">
        <f>'DANE ZBIORCZE'!H60</f>
        <v>0</v>
      </c>
      <c r="J24" s="180">
        <f>'DANE ZBIORCZE'!I60</f>
        <v>0</v>
      </c>
      <c r="K24" s="180">
        <f>'DANE ZBIORCZE'!J60</f>
        <v>0</v>
      </c>
      <c r="L24" s="180">
        <f>'DANE ZBIORCZE'!K60</f>
        <v>0</v>
      </c>
      <c r="M24" s="180">
        <f>'DANE ZBIORCZE'!L60</f>
        <v>0</v>
      </c>
    </row>
    <row r="25" spans="1:13" ht="21" customHeight="1">
      <c r="A25" s="382"/>
      <c r="B25" s="178" t="s">
        <v>190</v>
      </c>
      <c r="C25" s="179" t="s">
        <v>212</v>
      </c>
      <c r="D25" s="180">
        <f>'DANE ZBIORCZE'!C61</f>
        <v>196643833</v>
      </c>
      <c r="E25" s="180">
        <f>'Zestawienie kredytów'!F38</f>
        <v>302751000</v>
      </c>
      <c r="F25" s="180">
        <f>'Zestawienie kredytów'!F50</f>
        <v>93052137</v>
      </c>
      <c r="G25" s="180">
        <f>'Zestawienie kredytów'!F60</f>
        <v>32048780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</row>
    <row r="26" spans="1:13" ht="26.25" customHeight="1">
      <c r="A26" s="189">
        <v>6</v>
      </c>
      <c r="B26" s="372" t="s">
        <v>213</v>
      </c>
      <c r="C26" s="373"/>
      <c r="D26" s="182">
        <f>SUM(D27:D28)</f>
        <v>24832300.960000001</v>
      </c>
      <c r="E26" s="182">
        <f>SUM(E27:E28)</f>
        <v>48526809</v>
      </c>
      <c r="F26" s="182">
        <f t="shared" ref="F26:M26" si="5">SUM(F27:F28)</f>
        <v>81870680</v>
      </c>
      <c r="G26" s="182">
        <f t="shared" si="5"/>
        <v>95163652</v>
      </c>
      <c r="H26" s="182">
        <f t="shared" si="5"/>
        <v>92505276</v>
      </c>
      <c r="I26" s="182">
        <f t="shared" si="5"/>
        <v>92505276</v>
      </c>
      <c r="J26" s="182">
        <f t="shared" si="5"/>
        <v>92505276</v>
      </c>
      <c r="K26" s="182">
        <f t="shared" si="5"/>
        <v>92505276</v>
      </c>
      <c r="L26" s="182">
        <f t="shared" si="5"/>
        <v>92505276</v>
      </c>
      <c r="M26" s="182">
        <f t="shared" si="5"/>
        <v>92505295.8116</v>
      </c>
    </row>
    <row r="27" spans="1:13" ht="19.5" customHeight="1">
      <c r="A27" s="380"/>
      <c r="B27" s="190" t="s">
        <v>188</v>
      </c>
      <c r="C27" s="179" t="s">
        <v>214</v>
      </c>
      <c r="D27" s="180">
        <f>'DANE ZBIORCZE'!C63</f>
        <v>22177476.960000001</v>
      </c>
      <c r="E27" s="180">
        <f>'DANE ZBIORCZE'!D63</f>
        <v>44026809</v>
      </c>
      <c r="F27" s="180">
        <f>'DANE ZBIORCZE'!E63</f>
        <v>81870680</v>
      </c>
      <c r="G27" s="180">
        <f>'DANE ZBIORCZE'!F63</f>
        <v>95163652</v>
      </c>
      <c r="H27" s="180">
        <f>'DANE ZBIORCZE'!G63</f>
        <v>92505276</v>
      </c>
      <c r="I27" s="180">
        <f>'DANE ZBIORCZE'!H63</f>
        <v>92505276</v>
      </c>
      <c r="J27" s="180">
        <f>'DANE ZBIORCZE'!I63</f>
        <v>92505276</v>
      </c>
      <c r="K27" s="180">
        <f>'DANE ZBIORCZE'!J63</f>
        <v>92505276</v>
      </c>
      <c r="L27" s="180">
        <f>'DANE ZBIORCZE'!K63</f>
        <v>92505276</v>
      </c>
      <c r="M27" s="180">
        <f>'DANE ZBIORCZE'!L63</f>
        <v>92505295.8116</v>
      </c>
    </row>
    <row r="28" spans="1:13" ht="19.5" customHeight="1">
      <c r="A28" s="382"/>
      <c r="B28" s="178" t="s">
        <v>190</v>
      </c>
      <c r="C28" s="179" t="s">
        <v>215</v>
      </c>
      <c r="D28" s="180">
        <f>'DANE ZBIORCZE'!C64</f>
        <v>2654824</v>
      </c>
      <c r="E28" s="180">
        <f>'DANE ZBIORCZE'!D64</f>
        <v>4500000</v>
      </c>
      <c r="F28" s="180">
        <f>'DANE ZBIORCZE'!E64</f>
        <v>0</v>
      </c>
      <c r="G28" s="180">
        <f>'DANE ZBIORCZE'!F64</f>
        <v>0</v>
      </c>
      <c r="H28" s="180">
        <f>'DANE ZBIORCZE'!G64</f>
        <v>0</v>
      </c>
      <c r="I28" s="180">
        <f>'DANE ZBIORCZE'!H64</f>
        <v>0</v>
      </c>
      <c r="J28" s="180">
        <f>'DANE ZBIORCZE'!I64</f>
        <v>0</v>
      </c>
      <c r="K28" s="180">
        <f>'DANE ZBIORCZE'!J64</f>
        <v>0</v>
      </c>
      <c r="L28" s="180">
        <f>'DANE ZBIORCZE'!K64</f>
        <v>0</v>
      </c>
      <c r="M28" s="192">
        <f>'DANE ZBIORCZE'!L64</f>
        <v>0</v>
      </c>
    </row>
    <row r="29" spans="1:13" ht="26.25" customHeight="1" thickBot="1">
      <c r="A29" s="193">
        <v>7</v>
      </c>
      <c r="B29" s="383" t="s">
        <v>216</v>
      </c>
      <c r="C29" s="384"/>
      <c r="D29" s="194">
        <f>D5+D20-D9-D26</f>
        <v>3.9999999105930328E-2</v>
      </c>
      <c r="E29" s="194">
        <f>E5+E20-E9-E26</f>
        <v>0</v>
      </c>
      <c r="F29" s="194">
        <f t="shared" ref="F29:M29" si="6">F5+F20-F9-F26</f>
        <v>0</v>
      </c>
      <c r="G29" s="194">
        <f t="shared" si="6"/>
        <v>0</v>
      </c>
      <c r="H29" s="194">
        <f t="shared" si="6"/>
        <v>0</v>
      </c>
      <c r="I29" s="194">
        <f t="shared" si="6"/>
        <v>0</v>
      </c>
      <c r="J29" s="194">
        <f t="shared" si="6"/>
        <v>0</v>
      </c>
      <c r="K29" s="194">
        <f t="shared" si="6"/>
        <v>0</v>
      </c>
      <c r="L29" s="194">
        <f t="shared" si="6"/>
        <v>0</v>
      </c>
      <c r="M29" s="194">
        <f t="shared" si="6"/>
        <v>0.18840000033378601</v>
      </c>
    </row>
    <row r="30" spans="1:13" ht="26.25" customHeight="1">
      <c r="A30" s="195">
        <v>8</v>
      </c>
      <c r="B30" s="378" t="s">
        <v>301</v>
      </c>
      <c r="C30" s="379"/>
      <c r="D30" s="196">
        <f>'Koszty kredytów'!D34</f>
        <v>348240899.81</v>
      </c>
      <c r="E30" s="196">
        <f>'Koszty kredytów'!E34</f>
        <v>606965090.80999994</v>
      </c>
      <c r="F30" s="196">
        <f>'Koszty kredytów'!F34</f>
        <v>618146547.80999994</v>
      </c>
      <c r="G30" s="196">
        <f>'Koszty kredytów'!G34</f>
        <v>555031675.80999994</v>
      </c>
      <c r="H30" s="196">
        <f>'Koszty kredytów'!H34</f>
        <v>462526399.80999994</v>
      </c>
      <c r="I30" s="196">
        <f>'Koszty kredytów'!I34</f>
        <v>370021123.80999994</v>
      </c>
      <c r="J30" s="196">
        <f>'Koszty kredytów'!J34</f>
        <v>277515847.80999994</v>
      </c>
      <c r="K30" s="196">
        <f>'Koszty kredytów'!K34</f>
        <v>185010571.80999994</v>
      </c>
      <c r="L30" s="196">
        <f>'Koszty kredytów'!L34</f>
        <v>92505295.809999943</v>
      </c>
      <c r="M30" s="196">
        <f>'Koszty kredytów'!M34</f>
        <v>-1.6000568866729736E-3</v>
      </c>
    </row>
    <row r="31" spans="1:13" ht="26.25" customHeight="1">
      <c r="A31" s="197">
        <v>9</v>
      </c>
      <c r="B31" s="372" t="s">
        <v>304</v>
      </c>
      <c r="C31" s="373"/>
      <c r="D31" s="319"/>
      <c r="E31" s="180"/>
      <c r="F31" s="180"/>
      <c r="G31" s="180"/>
      <c r="H31" s="180"/>
      <c r="I31" s="180"/>
      <c r="J31" s="180"/>
      <c r="K31" s="180"/>
      <c r="L31" s="180"/>
      <c r="M31" s="180"/>
    </row>
    <row r="32" spans="1:13" ht="19.5" customHeight="1">
      <c r="A32" s="380"/>
      <c r="B32" s="190" t="s">
        <v>188</v>
      </c>
      <c r="C32" s="179" t="s">
        <v>302</v>
      </c>
      <c r="D32" s="312">
        <f>(D13+D14+D27)/D5</f>
        <v>2.9814248359264453E-2</v>
      </c>
      <c r="E32" s="312">
        <f t="shared" ref="E32:M32" si="7">(E13+E14+E27)/E5</f>
        <v>5.73887809240263E-2</v>
      </c>
      <c r="F32" s="312">
        <f t="shared" si="7"/>
        <v>7.6002479818316954E-2</v>
      </c>
      <c r="G32" s="312">
        <f t="shared" si="7"/>
        <v>9.3639028045021874E-2</v>
      </c>
      <c r="H32" s="312">
        <f t="shared" si="7"/>
        <v>0.13981941317001381</v>
      </c>
      <c r="I32" s="312">
        <f t="shared" si="7"/>
        <v>0.14125056047677098</v>
      </c>
      <c r="J32" s="312">
        <f t="shared" si="7"/>
        <v>0.13481314005827796</v>
      </c>
      <c r="K32" s="312">
        <f t="shared" si="7"/>
        <v>0.12815158018652203</v>
      </c>
      <c r="L32" s="312">
        <f t="shared" si="7"/>
        <v>0.12155333313022831</v>
      </c>
      <c r="M32" s="312">
        <f t="shared" si="7"/>
        <v>0.11439640629305313</v>
      </c>
    </row>
    <row r="33" spans="1:13" ht="19.5" customHeight="1">
      <c r="A33" s="382"/>
      <c r="B33" s="190" t="s">
        <v>190</v>
      </c>
      <c r="C33" s="179" t="s">
        <v>303</v>
      </c>
      <c r="D33" s="312">
        <f>('wielkości początkowe'!D12+'wielkości początkowe'!E12+'wielkości początkowe'!F12)/3</f>
        <v>0.14717025849947621</v>
      </c>
      <c r="E33" s="312">
        <f>('wielkości początkowe'!E12+'wielkości początkowe'!F12+'wielkości początkowe'!G12)/3</f>
        <v>0.11071350836510353</v>
      </c>
      <c r="F33" s="312">
        <f>('wielkości początkowe'!F12+'wielkości początkowe'!G12+'wielkości początkowe'!H12)/3</f>
        <v>0.12444253362976887</v>
      </c>
      <c r="G33" s="312">
        <f>('wielkości początkowe'!G12+'wielkości początkowe'!H12+'wielkości początkowe'!I12)/3</f>
        <v>0.1526323812318694</v>
      </c>
      <c r="H33" s="312">
        <f>('wielkości początkowe'!H12+'wielkości początkowe'!I12+'wielkości początkowe'!J12)/3</f>
        <v>0.19762210411199752</v>
      </c>
      <c r="I33" s="312">
        <f>('wielkości początkowe'!I12+'wielkości początkowe'!J12+'wielkości początkowe'!K12)/3</f>
        <v>0.28380552775168805</v>
      </c>
      <c r="J33" s="312">
        <f>('wielkości początkowe'!J12+'wielkości początkowe'!K12+'wielkości początkowe'!L12)/3</f>
        <v>0.32043272067551221</v>
      </c>
      <c r="K33" s="312">
        <f>('wielkości początkowe'!K12+'wielkości początkowe'!L12+'wielkości początkowe'!M12)/3</f>
        <v>0.36070863213135879</v>
      </c>
      <c r="L33" s="312">
        <f>('wielkości początkowe'!L12+'wielkości początkowe'!M12+'wielkości początkowe'!N12)/3</f>
        <v>0.34998273502102811</v>
      </c>
      <c r="M33" s="312">
        <f>('wielkości początkowe'!M12+'wielkości początkowe'!N12+'wielkości początkowe'!O12)/3</f>
        <v>0.34638948441992296</v>
      </c>
    </row>
    <row r="34" spans="1:13" ht="26.25" customHeight="1">
      <c r="A34" s="197">
        <v>10</v>
      </c>
      <c r="B34" s="372" t="s">
        <v>223</v>
      </c>
      <c r="C34" s="373"/>
      <c r="D34" s="311" t="str">
        <f>IF(D32&lt;=D33,"TAK","NIE")</f>
        <v>TAK</v>
      </c>
      <c r="E34" s="311" t="str">
        <f t="shared" ref="E34:M34" si="8">IF(E32&lt;=E33,"TAK","NIE")</f>
        <v>TAK</v>
      </c>
      <c r="F34" s="311" t="str">
        <f t="shared" si="8"/>
        <v>TAK</v>
      </c>
      <c r="G34" s="311" t="str">
        <f t="shared" si="8"/>
        <v>TAK</v>
      </c>
      <c r="H34" s="311" t="str">
        <f t="shared" si="8"/>
        <v>TAK</v>
      </c>
      <c r="I34" s="311" t="str">
        <f t="shared" si="8"/>
        <v>TAK</v>
      </c>
      <c r="J34" s="311" t="str">
        <f t="shared" si="8"/>
        <v>TAK</v>
      </c>
      <c r="K34" s="311" t="str">
        <f t="shared" si="8"/>
        <v>TAK</v>
      </c>
      <c r="L34" s="311" t="str">
        <f t="shared" si="8"/>
        <v>TAK</v>
      </c>
      <c r="M34" s="311" t="str">
        <f t="shared" si="8"/>
        <v>TAK</v>
      </c>
    </row>
    <row r="35" spans="1:13" ht="35.25" customHeight="1">
      <c r="A35" s="197">
        <v>11</v>
      </c>
      <c r="B35" s="372" t="s">
        <v>225</v>
      </c>
      <c r="C35" s="373"/>
      <c r="D35" s="313">
        <f>D30/D5</f>
        <v>0.25323845954893331</v>
      </c>
      <c r="E35" s="313">
        <f t="shared" ref="E35:M35" si="9">E30/E5</f>
        <v>0.45663681921274241</v>
      </c>
      <c r="F35" s="313">
        <f t="shared" si="9"/>
        <v>0.37149802093938966</v>
      </c>
      <c r="G35" s="313">
        <f t="shared" si="9"/>
        <v>0.38251285586107009</v>
      </c>
      <c r="H35" s="313">
        <f t="shared" si="9"/>
        <v>0.51008587485454426</v>
      </c>
      <c r="I35" s="313">
        <f t="shared" si="9"/>
        <v>0.42511094217605028</v>
      </c>
      <c r="J35" s="313">
        <f t="shared" si="9"/>
        <v>0.3159618640415362</v>
      </c>
      <c r="K35" s="313">
        <f t="shared" si="9"/>
        <v>0.20928954446468812</v>
      </c>
      <c r="L35" s="313">
        <f t="shared" si="9"/>
        <v>0.10401015753170328</v>
      </c>
      <c r="M35" s="313">
        <f t="shared" si="9"/>
        <v>-1.7873903085706981E-12</v>
      </c>
    </row>
    <row r="36" spans="1:13" ht="35.25" customHeight="1" thickBot="1">
      <c r="A36" s="200">
        <v>12</v>
      </c>
      <c r="B36" s="383" t="s">
        <v>305</v>
      </c>
      <c r="C36" s="384"/>
      <c r="D36" s="314">
        <f>(D13+D14+D27)/D5</f>
        <v>2.9814248359264453E-2</v>
      </c>
      <c r="E36" s="314">
        <f t="shared" ref="E36:M36" si="10">(E13+E14+E27)/E5</f>
        <v>5.73887809240263E-2</v>
      </c>
      <c r="F36" s="314">
        <f t="shared" si="10"/>
        <v>7.6002479818316954E-2</v>
      </c>
      <c r="G36" s="314">
        <f t="shared" si="10"/>
        <v>9.3639028045021874E-2</v>
      </c>
      <c r="H36" s="314">
        <f t="shared" si="10"/>
        <v>0.13981941317001381</v>
      </c>
      <c r="I36" s="314">
        <f t="shared" si="10"/>
        <v>0.14125056047677098</v>
      </c>
      <c r="J36" s="314">
        <f t="shared" si="10"/>
        <v>0.13481314005827796</v>
      </c>
      <c r="K36" s="314">
        <f t="shared" si="10"/>
        <v>0.12815158018652203</v>
      </c>
      <c r="L36" s="314">
        <f t="shared" si="10"/>
        <v>0.12155333313022831</v>
      </c>
      <c r="M36" s="314">
        <f t="shared" si="10"/>
        <v>0.11439640629305313</v>
      </c>
    </row>
    <row r="37" spans="1:13" ht="27" customHeight="1" thickBot="1">
      <c r="A37" s="201"/>
      <c r="B37" s="201"/>
      <c r="C37" s="202"/>
      <c r="D37" s="202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1:13" ht="27.75" customHeight="1">
      <c r="A38" s="204">
        <v>13</v>
      </c>
      <c r="B38" s="378" t="s">
        <v>226</v>
      </c>
      <c r="C38" s="379"/>
      <c r="D38" s="196">
        <f>SUM(D39:D45)</f>
        <v>22177476.960000001</v>
      </c>
      <c r="E38" s="196">
        <f t="shared" ref="E38:M38" si="11">SUM(E39:E45)</f>
        <v>44026809</v>
      </c>
      <c r="F38" s="196">
        <f t="shared" si="11"/>
        <v>81870680</v>
      </c>
      <c r="G38" s="196">
        <f t="shared" si="11"/>
        <v>95163652</v>
      </c>
      <c r="H38" s="196">
        <f t="shared" si="11"/>
        <v>92505276</v>
      </c>
      <c r="I38" s="196">
        <f t="shared" si="11"/>
        <v>92505276</v>
      </c>
      <c r="J38" s="196">
        <f t="shared" si="11"/>
        <v>92505276</v>
      </c>
      <c r="K38" s="196">
        <f t="shared" si="11"/>
        <v>92505276</v>
      </c>
      <c r="L38" s="196">
        <f t="shared" si="11"/>
        <v>92505276</v>
      </c>
      <c r="M38" s="196">
        <f t="shared" si="11"/>
        <v>92505295.8116</v>
      </c>
    </row>
    <row r="39" spans="1:13" ht="19.5" customHeight="1">
      <c r="A39" s="380"/>
      <c r="B39" s="178" t="s">
        <v>188</v>
      </c>
      <c r="C39" s="179" t="s">
        <v>227</v>
      </c>
      <c r="D39" s="353">
        <f>D27</f>
        <v>22177476.960000001</v>
      </c>
      <c r="E39" s="353">
        <f t="shared" ref="E39" si="12">E27</f>
        <v>44026809</v>
      </c>
      <c r="F39" s="353">
        <v>7601638</v>
      </c>
      <c r="G39" s="353">
        <v>63114872</v>
      </c>
      <c r="H39" s="353">
        <f>H27</f>
        <v>92505276</v>
      </c>
      <c r="I39" s="353">
        <f t="shared" ref="I39:M39" si="13">I27</f>
        <v>92505276</v>
      </c>
      <c r="J39" s="353">
        <f t="shared" si="13"/>
        <v>92505276</v>
      </c>
      <c r="K39" s="353">
        <f t="shared" si="13"/>
        <v>92505276</v>
      </c>
      <c r="L39" s="353">
        <f t="shared" si="13"/>
        <v>92505276</v>
      </c>
      <c r="M39" s="353">
        <f t="shared" si="13"/>
        <v>92505295.8116</v>
      </c>
    </row>
    <row r="40" spans="1:13" ht="19.5" customHeight="1">
      <c r="A40" s="381"/>
      <c r="B40" s="178" t="s">
        <v>190</v>
      </c>
      <c r="C40" s="179" t="s">
        <v>209</v>
      </c>
      <c r="D40" s="353"/>
      <c r="E40" s="192">
        <v>0</v>
      </c>
      <c r="F40" s="180">
        <v>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0</v>
      </c>
      <c r="M40" s="180">
        <v>0</v>
      </c>
    </row>
    <row r="41" spans="1:13" ht="19.5" customHeight="1">
      <c r="A41" s="381"/>
      <c r="B41" s="178" t="s">
        <v>192</v>
      </c>
      <c r="C41" s="179" t="s">
        <v>210</v>
      </c>
      <c r="D41" s="353"/>
      <c r="E41" s="192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80">
        <v>0</v>
      </c>
    </row>
    <row r="42" spans="1:13" ht="19.5" customHeight="1">
      <c r="A42" s="381"/>
      <c r="B42" s="178" t="s">
        <v>196</v>
      </c>
      <c r="C42" s="179" t="s">
        <v>229</v>
      </c>
      <c r="D42" s="353"/>
      <c r="E42" s="192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</row>
    <row r="43" spans="1:13" ht="19.5" customHeight="1">
      <c r="A43" s="381"/>
      <c r="B43" s="178" t="s">
        <v>198</v>
      </c>
      <c r="C43" s="179" t="s">
        <v>230</v>
      </c>
      <c r="D43" s="353"/>
      <c r="E43" s="192">
        <v>0</v>
      </c>
      <c r="F43" s="180">
        <v>74269042</v>
      </c>
      <c r="G43" s="180">
        <v>32048780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80">
        <v>0</v>
      </c>
    </row>
    <row r="44" spans="1:13" ht="19.5" customHeight="1">
      <c r="A44" s="381"/>
      <c r="B44" s="178" t="s">
        <v>199</v>
      </c>
      <c r="C44" s="179" t="s">
        <v>231</v>
      </c>
      <c r="D44" s="353"/>
      <c r="E44" s="192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</row>
    <row r="45" spans="1:13" ht="19.5" customHeight="1" thickBot="1">
      <c r="A45" s="385"/>
      <c r="B45" s="211" t="s">
        <v>201</v>
      </c>
      <c r="C45" s="212" t="s">
        <v>232</v>
      </c>
      <c r="D45" s="354"/>
      <c r="E45" s="355">
        <v>0</v>
      </c>
      <c r="F45" s="221">
        <v>0</v>
      </c>
      <c r="G45" s="221">
        <v>0</v>
      </c>
      <c r="H45" s="221">
        <v>0</v>
      </c>
      <c r="I45" s="221">
        <v>0</v>
      </c>
      <c r="J45" s="221">
        <v>0</v>
      </c>
      <c r="K45" s="221">
        <v>0</v>
      </c>
      <c r="L45" s="221">
        <v>0</v>
      </c>
      <c r="M45" s="221">
        <v>0</v>
      </c>
    </row>
    <row r="46" spans="1:13" ht="29.25" customHeight="1" thickBot="1">
      <c r="A46" s="215"/>
      <c r="B46" s="215"/>
      <c r="C46" s="216"/>
      <c r="D46" s="356"/>
      <c r="E46" s="357"/>
      <c r="F46" s="357"/>
      <c r="G46" s="357"/>
      <c r="H46" s="357"/>
      <c r="I46" s="357"/>
      <c r="J46" s="357"/>
      <c r="K46" s="357"/>
      <c r="L46" s="357"/>
      <c r="M46" s="357"/>
    </row>
    <row r="47" spans="1:13" ht="26.25" customHeight="1">
      <c r="A47" s="204">
        <v>14</v>
      </c>
      <c r="B47" s="378" t="s">
        <v>233</v>
      </c>
      <c r="C47" s="379"/>
      <c r="D47" s="196"/>
      <c r="E47" s="370">
        <v>0</v>
      </c>
      <c r="F47" s="371">
        <v>0</v>
      </c>
      <c r="G47" s="370">
        <f t="shared" ref="G47:M47" si="14">SUM(G48:G52)</f>
        <v>62198208</v>
      </c>
      <c r="H47" s="370">
        <f t="shared" si="14"/>
        <v>92505276</v>
      </c>
      <c r="I47" s="370">
        <f t="shared" si="14"/>
        <v>92505276</v>
      </c>
      <c r="J47" s="370">
        <f t="shared" si="14"/>
        <v>92505276</v>
      </c>
      <c r="K47" s="370">
        <f t="shared" si="14"/>
        <v>92505276</v>
      </c>
      <c r="L47" s="370">
        <f t="shared" si="14"/>
        <v>92505276</v>
      </c>
      <c r="M47" s="370">
        <f t="shared" si="14"/>
        <v>92505296</v>
      </c>
    </row>
    <row r="48" spans="1:13" ht="19.5" customHeight="1">
      <c r="A48" s="380"/>
      <c r="B48" s="178" t="s">
        <v>188</v>
      </c>
      <c r="C48" s="179" t="s">
        <v>234</v>
      </c>
      <c r="D48" s="353"/>
      <c r="E48" s="180">
        <v>0</v>
      </c>
      <c r="F48" s="22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80">
        <v>0</v>
      </c>
    </row>
    <row r="49" spans="1:13" ht="19.5" customHeight="1">
      <c r="A49" s="381"/>
      <c r="B49" s="178" t="s">
        <v>190</v>
      </c>
      <c r="C49" s="179" t="s">
        <v>235</v>
      </c>
      <c r="D49" s="353"/>
      <c r="E49" s="180">
        <v>0</v>
      </c>
      <c r="F49" s="22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</row>
    <row r="50" spans="1:13" ht="19.5" customHeight="1">
      <c r="A50" s="381"/>
      <c r="B50" s="178" t="s">
        <v>192</v>
      </c>
      <c r="C50" s="179" t="s">
        <v>236</v>
      </c>
      <c r="D50" s="353"/>
      <c r="E50" s="180">
        <v>0</v>
      </c>
      <c r="F50" s="220">
        <v>0</v>
      </c>
      <c r="G50" s="180">
        <v>0</v>
      </c>
      <c r="H50" s="180">
        <v>0</v>
      </c>
      <c r="I50" s="180">
        <v>0</v>
      </c>
      <c r="J50" s="180">
        <v>0</v>
      </c>
      <c r="K50" s="180">
        <v>0</v>
      </c>
      <c r="L50" s="180">
        <v>0</v>
      </c>
      <c r="M50" s="180">
        <v>0</v>
      </c>
    </row>
    <row r="51" spans="1:13" ht="19.5" customHeight="1">
      <c r="A51" s="381"/>
      <c r="B51" s="178" t="s">
        <v>196</v>
      </c>
      <c r="C51" s="179" t="s">
        <v>237</v>
      </c>
      <c r="D51" s="353"/>
      <c r="E51" s="180">
        <v>0</v>
      </c>
      <c r="F51" s="22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</row>
    <row r="52" spans="1:13" ht="19.5" customHeight="1">
      <c r="A52" s="382"/>
      <c r="B52" s="178" t="s">
        <v>198</v>
      </c>
      <c r="C52" s="179" t="s">
        <v>238</v>
      </c>
      <c r="D52" s="353"/>
      <c r="E52" s="180">
        <v>0</v>
      </c>
      <c r="F52" s="220">
        <v>0</v>
      </c>
      <c r="G52" s="180">
        <f>G18</f>
        <v>62198208</v>
      </c>
      <c r="H52" s="180">
        <f>H18</f>
        <v>92505276</v>
      </c>
      <c r="I52" s="180">
        <f t="shared" ref="I52:M52" si="15">I18</f>
        <v>92505276</v>
      </c>
      <c r="J52" s="180">
        <f t="shared" si="15"/>
        <v>92505276</v>
      </c>
      <c r="K52" s="180">
        <f t="shared" si="15"/>
        <v>92505276</v>
      </c>
      <c r="L52" s="180">
        <f t="shared" si="15"/>
        <v>92505276</v>
      </c>
      <c r="M52" s="180">
        <f t="shared" si="15"/>
        <v>92505296</v>
      </c>
    </row>
    <row r="53" spans="1:13" ht="26.25" customHeight="1">
      <c r="A53" s="189">
        <v>15</v>
      </c>
      <c r="B53" s="372" t="s">
        <v>239</v>
      </c>
      <c r="C53" s="373"/>
      <c r="D53" s="358">
        <f>D18</f>
        <v>-266333157</v>
      </c>
      <c r="E53" s="358">
        <f t="shared" ref="E53:F53" si="16">E18</f>
        <v>-309368486</v>
      </c>
      <c r="F53" s="358">
        <f t="shared" si="16"/>
        <v>-18783095</v>
      </c>
      <c r="G53" s="182">
        <v>0</v>
      </c>
      <c r="H53" s="182">
        <v>0</v>
      </c>
      <c r="I53" s="182">
        <v>0</v>
      </c>
      <c r="J53" s="182">
        <v>0</v>
      </c>
      <c r="K53" s="182">
        <v>0</v>
      </c>
      <c r="L53" s="182">
        <v>0</v>
      </c>
      <c r="M53" s="182">
        <v>0</v>
      </c>
    </row>
    <row r="54" spans="1:13" ht="19.5" customHeight="1">
      <c r="A54" s="380"/>
      <c r="B54" s="178" t="s">
        <v>188</v>
      </c>
      <c r="C54" s="179" t="s">
        <v>240</v>
      </c>
      <c r="D54" s="353"/>
      <c r="E54" s="180">
        <v>0</v>
      </c>
      <c r="F54" s="22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</row>
    <row r="55" spans="1:13" ht="19.5" customHeight="1">
      <c r="A55" s="381"/>
      <c r="B55" s="178" t="s">
        <v>190</v>
      </c>
      <c r="C55" s="179" t="s">
        <v>241</v>
      </c>
      <c r="D55" s="353">
        <f>D25</f>
        <v>196643833</v>
      </c>
      <c r="E55" s="353">
        <f t="shared" ref="E55" si="17">E25</f>
        <v>302751000</v>
      </c>
      <c r="F55" s="353">
        <v>18783095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</row>
    <row r="56" spans="1:13" ht="19.5" customHeight="1">
      <c r="A56" s="381"/>
      <c r="B56" s="178" t="s">
        <v>192</v>
      </c>
      <c r="C56" s="179" t="s">
        <v>232</v>
      </c>
      <c r="D56" s="353"/>
      <c r="E56" s="180">
        <v>0</v>
      </c>
      <c r="F56" s="220">
        <v>0</v>
      </c>
      <c r="G56" s="180">
        <v>0</v>
      </c>
      <c r="H56" s="220">
        <v>0</v>
      </c>
      <c r="I56" s="180">
        <v>0</v>
      </c>
      <c r="J56" s="220">
        <v>0</v>
      </c>
      <c r="K56" s="180">
        <v>0</v>
      </c>
      <c r="L56" s="220">
        <v>0</v>
      </c>
      <c r="M56" s="180">
        <v>0</v>
      </c>
    </row>
    <row r="57" spans="1:13" ht="19.5" customHeight="1">
      <c r="A57" s="381"/>
      <c r="B57" s="178" t="s">
        <v>196</v>
      </c>
      <c r="C57" s="179" t="s">
        <v>229</v>
      </c>
      <c r="D57" s="353"/>
      <c r="E57" s="180">
        <v>0</v>
      </c>
      <c r="F57" s="220">
        <v>0</v>
      </c>
      <c r="G57" s="180">
        <v>0</v>
      </c>
      <c r="H57" s="220">
        <v>0</v>
      </c>
      <c r="I57" s="180">
        <v>0</v>
      </c>
      <c r="J57" s="220">
        <v>0</v>
      </c>
      <c r="K57" s="180">
        <v>0</v>
      </c>
      <c r="L57" s="220">
        <v>0</v>
      </c>
      <c r="M57" s="180">
        <v>0</v>
      </c>
    </row>
    <row r="58" spans="1:13" ht="19.5" customHeight="1">
      <c r="A58" s="381"/>
      <c r="B58" s="178" t="s">
        <v>198</v>
      </c>
      <c r="C58" s="179" t="s">
        <v>231</v>
      </c>
      <c r="D58" s="353">
        <f>D24</f>
        <v>15211564</v>
      </c>
      <c r="E58" s="353">
        <f>E24-1812735</f>
        <v>6617486</v>
      </c>
      <c r="F58" s="353">
        <v>0</v>
      </c>
      <c r="G58" s="180">
        <v>0</v>
      </c>
      <c r="H58" s="220">
        <v>0</v>
      </c>
      <c r="I58" s="180">
        <v>0</v>
      </c>
      <c r="J58" s="220">
        <v>0</v>
      </c>
      <c r="K58" s="180">
        <v>0</v>
      </c>
      <c r="L58" s="220">
        <v>0</v>
      </c>
      <c r="M58" s="180">
        <v>0</v>
      </c>
    </row>
    <row r="59" spans="1:13" ht="19.5" customHeight="1">
      <c r="A59" s="381"/>
      <c r="B59" s="178" t="s">
        <v>199</v>
      </c>
      <c r="C59" s="179" t="s">
        <v>228</v>
      </c>
      <c r="D59" s="353"/>
      <c r="E59" s="180">
        <v>0</v>
      </c>
      <c r="F59" s="220">
        <v>0</v>
      </c>
      <c r="G59" s="180">
        <v>0</v>
      </c>
      <c r="H59" s="220">
        <v>0</v>
      </c>
      <c r="I59" s="180">
        <v>0</v>
      </c>
      <c r="J59" s="220">
        <v>0</v>
      </c>
      <c r="K59" s="180">
        <v>0</v>
      </c>
      <c r="L59" s="220">
        <v>0</v>
      </c>
      <c r="M59" s="180">
        <v>0</v>
      </c>
    </row>
    <row r="60" spans="1:13" ht="19.5" customHeight="1" thickBot="1">
      <c r="A60" s="385"/>
      <c r="B60" s="211" t="s">
        <v>201</v>
      </c>
      <c r="C60" s="212" t="s">
        <v>210</v>
      </c>
      <c r="D60" s="354">
        <f>D23-D26</f>
        <v>54477760.039999999</v>
      </c>
      <c r="E60" s="354">
        <v>0</v>
      </c>
      <c r="F60" s="354">
        <v>0</v>
      </c>
      <c r="G60" s="221">
        <v>0</v>
      </c>
      <c r="H60" s="222">
        <v>0</v>
      </c>
      <c r="I60" s="221">
        <v>0</v>
      </c>
      <c r="J60" s="222">
        <v>0</v>
      </c>
      <c r="K60" s="221">
        <v>0</v>
      </c>
      <c r="L60" s="222">
        <v>0</v>
      </c>
      <c r="M60" s="221">
        <v>0</v>
      </c>
    </row>
  </sheetData>
  <mergeCells count="26">
    <mergeCell ref="A48:A52"/>
    <mergeCell ref="B53:C53"/>
    <mergeCell ref="A54:A60"/>
    <mergeCell ref="B34:C34"/>
    <mergeCell ref="B35:C35"/>
    <mergeCell ref="B36:C36"/>
    <mergeCell ref="B38:C38"/>
    <mergeCell ref="A39:A45"/>
    <mergeCell ref="B47:C47"/>
    <mergeCell ref="A32:A33"/>
    <mergeCell ref="A10:A17"/>
    <mergeCell ref="B18:C18"/>
    <mergeCell ref="B19:C19"/>
    <mergeCell ref="B20:C20"/>
    <mergeCell ref="A21:A25"/>
    <mergeCell ref="B26:C26"/>
    <mergeCell ref="A27:A28"/>
    <mergeCell ref="B29:C29"/>
    <mergeCell ref="B30:C30"/>
    <mergeCell ref="B31:C31"/>
    <mergeCell ref="B9:C9"/>
    <mergeCell ref="A1:M1"/>
    <mergeCell ref="A2:M2"/>
    <mergeCell ref="B4:C4"/>
    <mergeCell ref="B5:C5"/>
    <mergeCell ref="A6:A8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2:G152"/>
  <sheetViews>
    <sheetView zoomScale="80" zoomScaleNormal="80" workbookViewId="0">
      <selection activeCell="D153" sqref="D153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02" t="s">
        <v>158</v>
      </c>
      <c r="B2" s="402"/>
      <c r="C2" s="402"/>
      <c r="D2" s="402"/>
      <c r="E2" s="402"/>
      <c r="F2" s="402"/>
    </row>
    <row r="3" spans="1:7">
      <c r="A3" s="403"/>
      <c r="B3" s="403"/>
      <c r="C3" s="403"/>
      <c r="D3" s="403"/>
      <c r="F3" s="67" t="s">
        <v>80</v>
      </c>
      <c r="G3" s="68"/>
    </row>
    <row r="4" spans="1:7" ht="15" thickBot="1">
      <c r="D4" s="11" t="s">
        <v>14</v>
      </c>
    </row>
    <row r="5" spans="1:7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7" ht="15.75">
      <c r="A6" s="15" t="s">
        <v>83</v>
      </c>
      <c r="B6" s="16"/>
      <c r="C6" s="17"/>
      <c r="D6" s="18"/>
      <c r="F6" s="70"/>
    </row>
    <row r="7" spans="1:7" ht="15.75">
      <c r="A7" s="19"/>
      <c r="B7" s="20">
        <v>0</v>
      </c>
      <c r="C7" s="21">
        <f>(A7*B7)/365*90</f>
        <v>0</v>
      </c>
      <c r="D7" s="22">
        <v>0</v>
      </c>
      <c r="F7" s="71">
        <v>0</v>
      </c>
    </row>
    <row r="8" spans="1:7" ht="15.75">
      <c r="A8" s="19" t="s">
        <v>84</v>
      </c>
      <c r="B8" s="20"/>
      <c r="C8" s="21"/>
      <c r="D8" s="22"/>
      <c r="F8" s="71"/>
    </row>
    <row r="9" spans="1:7" ht="15.75">
      <c r="A9" s="19"/>
      <c r="B9" s="20">
        <v>0</v>
      </c>
      <c r="C9" s="21">
        <f>(A9*B9)/365*90</f>
        <v>0</v>
      </c>
      <c r="D9" s="22">
        <v>0</v>
      </c>
      <c r="F9" s="71">
        <v>0</v>
      </c>
    </row>
    <row r="10" spans="1:7" ht="15.75">
      <c r="A10" s="19" t="s">
        <v>85</v>
      </c>
      <c r="B10" s="20"/>
      <c r="C10" s="21"/>
      <c r="D10" s="22"/>
      <c r="F10" s="71"/>
    </row>
    <row r="11" spans="1:7" ht="15.75">
      <c r="A11" s="19"/>
      <c r="B11" s="20">
        <v>0</v>
      </c>
      <c r="C11" s="21">
        <f>(A11*B11)/365*90</f>
        <v>0</v>
      </c>
      <c r="D11" s="22">
        <v>0</v>
      </c>
      <c r="F11" s="71">
        <v>0</v>
      </c>
    </row>
    <row r="12" spans="1:7" ht="15.75">
      <c r="A12" s="19" t="s">
        <v>86</v>
      </c>
      <c r="B12" s="20"/>
      <c r="C12" s="21"/>
      <c r="D12" s="22"/>
      <c r="F12" s="71"/>
    </row>
    <row r="13" spans="1:7" ht="16.5" thickBot="1">
      <c r="A13" s="19">
        <f>'Zestawienie kredytów'!F26</f>
        <v>196643833</v>
      </c>
      <c r="B13" s="20">
        <v>0</v>
      </c>
      <c r="C13" s="23">
        <f>(A13*B13)/365*90</f>
        <v>0</v>
      </c>
      <c r="D13" s="22">
        <f>C13</f>
        <v>0</v>
      </c>
      <c r="F13" s="71">
        <f>E13</f>
        <v>0</v>
      </c>
    </row>
    <row r="14" spans="1:7" ht="15.75">
      <c r="A14" s="24"/>
      <c r="B14" s="25" t="s">
        <v>23</v>
      </c>
      <c r="C14" s="26">
        <f>SUM(C7:C13)</f>
        <v>0</v>
      </c>
      <c r="D14" s="27"/>
      <c r="F14" s="72"/>
    </row>
    <row r="15" spans="1:7" ht="15.75">
      <c r="A15" s="28"/>
      <c r="B15" s="29" t="s">
        <v>24</v>
      </c>
      <c r="C15" s="30">
        <f>0.09%*A13</f>
        <v>176979.4497</v>
      </c>
      <c r="D15" s="31"/>
      <c r="F15" s="73"/>
    </row>
    <row r="16" spans="1:7" ht="33.75" thickBot="1">
      <c r="A16" s="32"/>
      <c r="B16" s="33"/>
      <c r="C16" s="34" t="s">
        <v>82</v>
      </c>
      <c r="D16" s="35">
        <f>SUM(D7:D13)+C15</f>
        <v>176979.4497</v>
      </c>
      <c r="F16" s="74">
        <f>SUM(F7:F13)+E15</f>
        <v>0</v>
      </c>
    </row>
    <row r="17" spans="1:6" ht="15" thickBot="1">
      <c r="A17" s="36"/>
      <c r="B17" s="36"/>
      <c r="C17" s="36"/>
      <c r="D17" s="36"/>
      <c r="F17" s="77"/>
    </row>
    <row r="18" spans="1:6" ht="39" hidden="1" thickBot="1">
      <c r="A18" s="12" t="s">
        <v>15</v>
      </c>
      <c r="B18" s="13" t="s">
        <v>16</v>
      </c>
      <c r="C18" s="13" t="s">
        <v>17</v>
      </c>
      <c r="D18" s="14" t="s">
        <v>18</v>
      </c>
      <c r="F18" s="69" t="s">
        <v>18</v>
      </c>
    </row>
    <row r="19" spans="1:6" ht="16.5" hidden="1" thickBot="1">
      <c r="A19" s="15"/>
      <c r="B19" s="16"/>
      <c r="C19" s="17"/>
      <c r="D19" s="18"/>
      <c r="F19" s="70"/>
    </row>
    <row r="20" spans="1:6" ht="16.5" hidden="1" thickBot="1">
      <c r="A20" s="19"/>
      <c r="B20" s="20"/>
      <c r="C20" s="21"/>
      <c r="D20" s="22"/>
      <c r="F20" s="71"/>
    </row>
    <row r="21" spans="1:6" ht="16.5" hidden="1" thickBot="1">
      <c r="A21" s="19"/>
      <c r="B21" s="20"/>
      <c r="C21" s="21"/>
      <c r="D21" s="22"/>
      <c r="F21" s="71"/>
    </row>
    <row r="22" spans="1:6" ht="16.5" hidden="1" thickBot="1">
      <c r="A22" s="19"/>
      <c r="B22" s="20"/>
      <c r="C22" s="21"/>
      <c r="D22" s="22"/>
      <c r="F22" s="71"/>
    </row>
    <row r="23" spans="1:6" ht="16.5" hidden="1" thickBot="1">
      <c r="A23" s="19"/>
      <c r="B23" s="20"/>
      <c r="C23" s="21"/>
      <c r="D23" s="22"/>
      <c r="F23" s="71"/>
    </row>
    <row r="24" spans="1:6" ht="16.5" hidden="1" thickBot="1">
      <c r="A24" s="19"/>
      <c r="B24" s="20"/>
      <c r="C24" s="21"/>
      <c r="D24" s="22"/>
      <c r="F24" s="71"/>
    </row>
    <row r="25" spans="1:6" ht="16.5" hidden="1" thickBot="1">
      <c r="A25" s="19"/>
      <c r="B25" s="20"/>
      <c r="C25" s="21"/>
      <c r="D25" s="22"/>
      <c r="F25" s="71"/>
    </row>
    <row r="26" spans="1:6" ht="16.5" hidden="1" thickBot="1">
      <c r="A26" s="19"/>
      <c r="B26" s="20"/>
      <c r="C26" s="23"/>
      <c r="D26" s="22"/>
      <c r="F26" s="71"/>
    </row>
    <row r="27" spans="1:6" ht="16.5" hidden="1" thickBot="1">
      <c r="A27" s="24"/>
      <c r="B27" s="25"/>
      <c r="C27" s="26"/>
      <c r="D27" s="27"/>
      <c r="F27" s="72"/>
    </row>
    <row r="28" spans="1:6" ht="17.25" hidden="1" thickBot="1">
      <c r="A28" s="32"/>
      <c r="B28" s="33"/>
      <c r="C28" s="34"/>
      <c r="D28" s="35"/>
      <c r="F28" s="74"/>
    </row>
    <row r="29" spans="1:6" ht="15" hidden="1" thickBot="1">
      <c r="A29" s="36"/>
      <c r="B29" s="37"/>
      <c r="C29" s="38"/>
      <c r="D29" s="36"/>
      <c r="F29" s="75"/>
    </row>
    <row r="30" spans="1:6" ht="39" thickBot="1">
      <c r="A30" s="12" t="s">
        <v>15</v>
      </c>
      <c r="B30" s="13" t="s">
        <v>16</v>
      </c>
      <c r="C30" s="13" t="s">
        <v>17</v>
      </c>
      <c r="D30" s="14" t="s">
        <v>18</v>
      </c>
      <c r="F30" s="69" t="s">
        <v>81</v>
      </c>
    </row>
    <row r="31" spans="1:6" ht="15.75">
      <c r="A31" s="15" t="s">
        <v>26</v>
      </c>
      <c r="B31" s="16"/>
      <c r="C31" s="17"/>
      <c r="D31" s="18"/>
      <c r="F31" s="70"/>
    </row>
    <row r="32" spans="1:6" ht="15.75">
      <c r="A32" s="19">
        <f>A13</f>
        <v>196643833</v>
      </c>
      <c r="B32" s="20">
        <v>5.8999999999999997E-2</v>
      </c>
      <c r="C32" s="21">
        <f>(A32*B32)/365*180</f>
        <v>5721527.4149589045</v>
      </c>
      <c r="D32" s="22">
        <f>C32+A144</f>
        <v>11183855.414958905</v>
      </c>
      <c r="F32" s="71">
        <f>$A$145</f>
        <v>5462353</v>
      </c>
    </row>
    <row r="33" spans="1:6" ht="15.75">
      <c r="A33" s="19" t="s">
        <v>27</v>
      </c>
      <c r="B33" s="20"/>
      <c r="C33" s="21"/>
      <c r="D33" s="22"/>
      <c r="F33" s="71"/>
    </row>
    <row r="34" spans="1:6" ht="15.75">
      <c r="A34" s="19">
        <f>A32-A145</f>
        <v>191181480</v>
      </c>
      <c r="B34" s="20">
        <v>5.8999999999999997E-2</v>
      </c>
      <c r="C34" s="21">
        <f>(A34*B34)/365*90</f>
        <v>2781297.6953424658</v>
      </c>
      <c r="D34" s="22">
        <f>C34+A144</f>
        <v>8243625.6953424662</v>
      </c>
      <c r="F34" s="71">
        <f>$A$144</f>
        <v>5462328</v>
      </c>
    </row>
    <row r="35" spans="1:6" ht="15.75">
      <c r="A35" s="19" t="s">
        <v>28</v>
      </c>
      <c r="B35" s="20"/>
      <c r="C35" s="21"/>
      <c r="D35" s="22"/>
      <c r="F35" s="71"/>
    </row>
    <row r="36" spans="1:6" ht="15.75">
      <c r="A36" s="19">
        <f>A34-A144</f>
        <v>185719152</v>
      </c>
      <c r="B36" s="20">
        <v>6.5000000000000002E-2</v>
      </c>
      <c r="C36" s="21">
        <f>(A36*B36)/365*90</f>
        <v>2976594.6279452052</v>
      </c>
      <c r="D36" s="22">
        <f>C36+A144</f>
        <v>8438922.6279452052</v>
      </c>
      <c r="F36" s="71">
        <f>$A$144</f>
        <v>5462328</v>
      </c>
    </row>
    <row r="37" spans="1:6" ht="15.75">
      <c r="A37" s="19" t="s">
        <v>29</v>
      </c>
      <c r="B37" s="20"/>
      <c r="C37" s="21"/>
      <c r="D37" s="22"/>
      <c r="F37" s="71"/>
    </row>
    <row r="38" spans="1:6" ht="16.5" thickBot="1">
      <c r="A38" s="19">
        <f>A36-A144</f>
        <v>180256824</v>
      </c>
      <c r="B38" s="20">
        <v>6.5000000000000002E-2</v>
      </c>
      <c r="C38" s="23">
        <f>(A38*B38)/365*90</f>
        <v>2889047.727123288</v>
      </c>
      <c r="D38" s="22">
        <f>C38+A144</f>
        <v>8351375.7271232884</v>
      </c>
      <c r="F38" s="71">
        <f>$A$144</f>
        <v>5462328</v>
      </c>
    </row>
    <row r="39" spans="1:6" ht="15.75">
      <c r="A39" s="24"/>
      <c r="B39" s="25" t="s">
        <v>23</v>
      </c>
      <c r="C39" s="26">
        <f>SUM(C32:C38)</f>
        <v>14368467.465369863</v>
      </c>
      <c r="D39" s="27"/>
      <c r="F39" s="72"/>
    </row>
    <row r="40" spans="1:6" ht="33.75" thickBot="1">
      <c r="A40" s="32"/>
      <c r="B40" s="33"/>
      <c r="C40" s="34" t="s">
        <v>30</v>
      </c>
      <c r="D40" s="35">
        <f>SUM(D32:D38)</f>
        <v>36217779.465369865</v>
      </c>
      <c r="F40" s="74">
        <f>SUM(F32:F38)</f>
        <v>21849337</v>
      </c>
    </row>
    <row r="41" spans="1:6" ht="15" thickBot="1">
      <c r="A41" s="36"/>
      <c r="B41" s="37"/>
      <c r="C41" s="38"/>
      <c r="D41" s="36"/>
      <c r="F41" s="77"/>
    </row>
    <row r="42" spans="1:6" ht="39" thickBot="1">
      <c r="A42" s="12" t="s">
        <v>15</v>
      </c>
      <c r="B42" s="13" t="s">
        <v>16</v>
      </c>
      <c r="C42" s="13" t="s">
        <v>17</v>
      </c>
      <c r="D42" s="14" t="s">
        <v>18</v>
      </c>
      <c r="F42" s="69" t="s">
        <v>81</v>
      </c>
    </row>
    <row r="43" spans="1:6" ht="15.75">
      <c r="A43" s="15" t="s">
        <v>31</v>
      </c>
      <c r="B43" s="16"/>
      <c r="C43" s="17"/>
      <c r="D43" s="18"/>
      <c r="F43" s="70"/>
    </row>
    <row r="44" spans="1:6" ht="15.75">
      <c r="A44" s="19">
        <f>A38-A144</f>
        <v>174794496</v>
      </c>
      <c r="B44" s="20">
        <v>5.2999999999999999E-2</v>
      </c>
      <c r="C44" s="21">
        <f>(A44*B44)/365*90</f>
        <v>2284300.673753425</v>
      </c>
      <c r="D44" s="22">
        <f>C44+A144</f>
        <v>7746628.6737534255</v>
      </c>
      <c r="F44" s="71">
        <f>$A$144</f>
        <v>5462328</v>
      </c>
    </row>
    <row r="45" spans="1:6" ht="15.75">
      <c r="A45" s="19" t="s">
        <v>32</v>
      </c>
      <c r="B45" s="20"/>
      <c r="C45" s="21"/>
      <c r="D45" s="22"/>
      <c r="F45" s="71"/>
    </row>
    <row r="46" spans="1:6" ht="15.75">
      <c r="A46" s="19">
        <f>A44-A144</f>
        <v>169332168</v>
      </c>
      <c r="B46" s="20">
        <v>5.2999999999999999E-2</v>
      </c>
      <c r="C46" s="21">
        <f>(A46*B46)/365*90</f>
        <v>2212916.27769863</v>
      </c>
      <c r="D46" s="22">
        <f>C46+A144</f>
        <v>7675244.2776986305</v>
      </c>
      <c r="F46" s="71">
        <f>$A$144</f>
        <v>5462328</v>
      </c>
    </row>
    <row r="47" spans="1:6" ht="15.75">
      <c r="A47" s="19" t="s">
        <v>33</v>
      </c>
      <c r="B47" s="20"/>
      <c r="C47" s="21"/>
      <c r="D47" s="22"/>
      <c r="F47" s="71"/>
    </row>
    <row r="48" spans="1:6" ht="15.75">
      <c r="A48" s="19">
        <f>A46-A144</f>
        <v>163869840</v>
      </c>
      <c r="B48" s="20">
        <v>5.5E-2</v>
      </c>
      <c r="C48" s="21">
        <f>(A48*B48)/365*90</f>
        <v>2222344.4054794521</v>
      </c>
      <c r="D48" s="22">
        <f>C48+A144</f>
        <v>7684672.4054794516</v>
      </c>
      <c r="F48" s="71">
        <f>$A$144</f>
        <v>5462328</v>
      </c>
    </row>
    <row r="49" spans="1:6" ht="15.75">
      <c r="A49" s="19" t="s">
        <v>34</v>
      </c>
      <c r="B49" s="20"/>
      <c r="C49" s="21"/>
      <c r="D49" s="22"/>
      <c r="F49" s="71"/>
    </row>
    <row r="50" spans="1:6" ht="16.5" thickBot="1">
      <c r="A50" s="19">
        <f>A48-A144</f>
        <v>158407512</v>
      </c>
      <c r="B50" s="20">
        <v>5.5E-2</v>
      </c>
      <c r="C50" s="23">
        <f>(A50*B50)/365*90</f>
        <v>2148266.258630137</v>
      </c>
      <c r="D50" s="22">
        <f>C50+A144</f>
        <v>7610594.258630137</v>
      </c>
      <c r="F50" s="71">
        <f>$A$144</f>
        <v>5462328</v>
      </c>
    </row>
    <row r="51" spans="1:6" ht="15.75">
      <c r="A51" s="24"/>
      <c r="B51" s="25" t="s">
        <v>23</v>
      </c>
      <c r="C51" s="26">
        <f>SUM(C44:C50)</f>
        <v>8867827.6155616455</v>
      </c>
      <c r="D51" s="27"/>
      <c r="F51" s="72"/>
    </row>
    <row r="52" spans="1:6" ht="33.75" thickBot="1">
      <c r="A52" s="39"/>
      <c r="B52" s="40"/>
      <c r="C52" s="41" t="s">
        <v>35</v>
      </c>
      <c r="D52" s="42">
        <f>SUM(D44:D50)</f>
        <v>30717139.615561645</v>
      </c>
      <c r="F52" s="76">
        <f>SUM(F44:F50)</f>
        <v>21849312</v>
      </c>
    </row>
    <row r="53" spans="1:6" ht="17.25" thickBot="1">
      <c r="A53" s="43"/>
      <c r="B53" s="44"/>
      <c r="C53" s="45"/>
      <c r="D53" s="46"/>
      <c r="F53" s="46"/>
    </row>
    <row r="54" spans="1:6" ht="39" thickBot="1">
      <c r="A54" s="47" t="s">
        <v>15</v>
      </c>
      <c r="B54" s="48" t="s">
        <v>16</v>
      </c>
      <c r="C54" s="48" t="s">
        <v>17</v>
      </c>
      <c r="D54" s="49" t="s">
        <v>18</v>
      </c>
      <c r="F54" s="69" t="s">
        <v>81</v>
      </c>
    </row>
    <row r="55" spans="1:6" ht="15.75">
      <c r="A55" s="15" t="s">
        <v>36</v>
      </c>
      <c r="B55" s="16"/>
      <c r="C55" s="17"/>
      <c r="D55" s="18"/>
      <c r="F55" s="70"/>
    </row>
    <row r="56" spans="1:6" ht="15.75">
      <c r="A56" s="19">
        <f>A50-A144</f>
        <v>152945184</v>
      </c>
      <c r="B56" s="20">
        <v>0.05</v>
      </c>
      <c r="C56" s="21">
        <f>(A56*B56)/365*90</f>
        <v>1885625.5561643837</v>
      </c>
      <c r="D56" s="22">
        <f>C56+A144</f>
        <v>7347953.5561643839</v>
      </c>
      <c r="F56" s="71">
        <f>$A$144</f>
        <v>5462328</v>
      </c>
    </row>
    <row r="57" spans="1:6" ht="15.75">
      <c r="A57" s="19" t="s">
        <v>37</v>
      </c>
      <c r="B57" s="20"/>
      <c r="C57" s="21"/>
      <c r="D57" s="22"/>
      <c r="F57" s="71"/>
    </row>
    <row r="58" spans="1:6" ht="15.75">
      <c r="A58" s="19">
        <f>A56-A144</f>
        <v>147482856</v>
      </c>
      <c r="B58" s="20">
        <v>0.05</v>
      </c>
      <c r="C58" s="21">
        <f>(A58*B58)/365*90</f>
        <v>1818281.78630137</v>
      </c>
      <c r="D58" s="22">
        <f>C58+A144</f>
        <v>7280609.7863013698</v>
      </c>
      <c r="F58" s="71">
        <f>$A$144</f>
        <v>5462328</v>
      </c>
    </row>
    <row r="59" spans="1:6" ht="15.75">
      <c r="A59" s="19" t="s">
        <v>38</v>
      </c>
      <c r="B59" s="20"/>
      <c r="C59" s="21"/>
      <c r="D59" s="22"/>
      <c r="F59" s="71"/>
    </row>
    <row r="60" spans="1:6" ht="15.75">
      <c r="A60" s="19">
        <f>A58-A144</f>
        <v>142020528</v>
      </c>
      <c r="B60" s="20">
        <v>0.05</v>
      </c>
      <c r="C60" s="21">
        <f>(A60*B60)/365*90</f>
        <v>1750938.0164383561</v>
      </c>
      <c r="D60" s="22">
        <f>C60+A144</f>
        <v>7213266.0164383557</v>
      </c>
      <c r="F60" s="71">
        <f>$A$144</f>
        <v>5462328</v>
      </c>
    </row>
    <row r="61" spans="1:6" ht="15.75">
      <c r="A61" s="19" t="s">
        <v>39</v>
      </c>
      <c r="B61" s="20"/>
      <c r="C61" s="21"/>
      <c r="D61" s="22"/>
      <c r="F61" s="71"/>
    </row>
    <row r="62" spans="1:6" ht="16.5" thickBot="1">
      <c r="A62" s="19">
        <f>A60-A144</f>
        <v>136558200</v>
      </c>
      <c r="B62" s="20">
        <v>0.05</v>
      </c>
      <c r="C62" s="23">
        <f>(A62*B62)/365*90</f>
        <v>1683594.2465753423</v>
      </c>
      <c r="D62" s="22">
        <f>C62+A144</f>
        <v>7145922.2465753425</v>
      </c>
      <c r="F62" s="71">
        <f>$A$144</f>
        <v>5462328</v>
      </c>
    </row>
    <row r="63" spans="1:6" ht="15.75">
      <c r="A63" s="24"/>
      <c r="B63" s="25" t="s">
        <v>23</v>
      </c>
      <c r="C63" s="26">
        <f>SUM(C56:C62)</f>
        <v>7138439.6054794528</v>
      </c>
      <c r="D63" s="27"/>
      <c r="F63" s="72"/>
    </row>
    <row r="64" spans="1:6" ht="33.75" thickBot="1">
      <c r="A64" s="32"/>
      <c r="B64" s="33"/>
      <c r="C64" s="34" t="s">
        <v>40</v>
      </c>
      <c r="D64" s="35">
        <f>SUM(D56:D62)</f>
        <v>28987751.605479449</v>
      </c>
      <c r="F64" s="74">
        <f>SUM(F56:F62)</f>
        <v>21849312</v>
      </c>
    </row>
    <row r="65" spans="1:6" ht="17.25" thickBot="1">
      <c r="A65" s="50"/>
      <c r="B65" s="51"/>
      <c r="C65" s="52"/>
      <c r="D65" s="53"/>
      <c r="F65" s="46"/>
    </row>
    <row r="66" spans="1:6" ht="39" thickBot="1">
      <c r="A66" s="54" t="s">
        <v>15</v>
      </c>
      <c r="B66" s="55" t="s">
        <v>16</v>
      </c>
      <c r="C66" s="55" t="s">
        <v>17</v>
      </c>
      <c r="D66" s="56" t="s">
        <v>18</v>
      </c>
      <c r="F66" s="69" t="s">
        <v>81</v>
      </c>
    </row>
    <row r="67" spans="1:6" ht="15.75">
      <c r="A67" s="15" t="s">
        <v>41</v>
      </c>
      <c r="B67" s="16"/>
      <c r="C67" s="17"/>
      <c r="D67" s="18"/>
      <c r="F67" s="70"/>
    </row>
    <row r="68" spans="1:6" ht="15.75">
      <c r="A68" s="19">
        <f>A62-A144</f>
        <v>131095872</v>
      </c>
      <c r="B68" s="20">
        <v>0.05</v>
      </c>
      <c r="C68" s="21">
        <f>(A68*B68)/365*90</f>
        <v>1616250.4767123288</v>
      </c>
      <c r="D68" s="22">
        <f>C68+A144</f>
        <v>7078578.4767123293</v>
      </c>
      <c r="F68" s="71">
        <f>$A$144</f>
        <v>5462328</v>
      </c>
    </row>
    <row r="69" spans="1:6" ht="15.75">
      <c r="A69" s="19" t="s">
        <v>42</v>
      </c>
      <c r="B69" s="20"/>
      <c r="C69" s="21"/>
      <c r="D69" s="22"/>
      <c r="F69" s="71"/>
    </row>
    <row r="70" spans="1:6" ht="15.75">
      <c r="A70" s="19">
        <f>A68-A144</f>
        <v>125633544</v>
      </c>
      <c r="B70" s="20">
        <v>0.05</v>
      </c>
      <c r="C70" s="21">
        <f>(A70*B70)/365*90</f>
        <v>1548906.7068493152</v>
      </c>
      <c r="D70" s="22">
        <f>C70+A144</f>
        <v>7011234.7068493152</v>
      </c>
      <c r="F70" s="71">
        <f>$A$144</f>
        <v>5462328</v>
      </c>
    </row>
    <row r="71" spans="1:6" ht="15.75">
      <c r="A71" s="19" t="s">
        <v>43</v>
      </c>
      <c r="B71" s="20"/>
      <c r="C71" s="21"/>
      <c r="D71" s="22"/>
      <c r="F71" s="71"/>
    </row>
    <row r="72" spans="1:6" ht="15.75">
      <c r="A72" s="19">
        <f>A70-A144</f>
        <v>120171216</v>
      </c>
      <c r="B72" s="20">
        <v>0.05</v>
      </c>
      <c r="C72" s="21">
        <f>(A72*B72)/365*90</f>
        <v>1481562.9369863018</v>
      </c>
      <c r="D72" s="22">
        <f>C72+A144</f>
        <v>6943890.936986302</v>
      </c>
      <c r="F72" s="71">
        <f>$A$144</f>
        <v>5462328</v>
      </c>
    </row>
    <row r="73" spans="1:6" ht="15.75">
      <c r="A73" s="19" t="s">
        <v>44</v>
      </c>
      <c r="B73" s="20"/>
      <c r="C73" s="21"/>
      <c r="D73" s="22"/>
      <c r="F73" s="71"/>
    </row>
    <row r="74" spans="1:6" ht="16.5" thickBot="1">
      <c r="A74" s="19">
        <f>A72-A144</f>
        <v>114708888</v>
      </c>
      <c r="B74" s="20">
        <v>0.05</v>
      </c>
      <c r="C74" s="23">
        <f>(A74*B74)/365*90</f>
        <v>1414219.1671232879</v>
      </c>
      <c r="D74" s="22">
        <f>C74+A144</f>
        <v>6876547.1671232879</v>
      </c>
      <c r="F74" s="71">
        <f>$A$144</f>
        <v>5462328</v>
      </c>
    </row>
    <row r="75" spans="1:6" ht="15.75">
      <c r="A75" s="24"/>
      <c r="B75" s="25" t="s">
        <v>23</v>
      </c>
      <c r="C75" s="26">
        <f>SUM(C68:C74)</f>
        <v>6060939.2876712335</v>
      </c>
      <c r="D75" s="27"/>
      <c r="F75" s="72"/>
    </row>
    <row r="76" spans="1:6" ht="33.75" thickBot="1">
      <c r="A76" s="32"/>
      <c r="B76" s="33"/>
      <c r="C76" s="34" t="s">
        <v>45</v>
      </c>
      <c r="D76" s="35">
        <f>SUM(D68:D74)</f>
        <v>27910251.287671234</v>
      </c>
      <c r="F76" s="74">
        <f>SUM(F68:F74)</f>
        <v>21849312</v>
      </c>
    </row>
    <row r="77" spans="1:6" ht="17.25" thickBot="1">
      <c r="A77" s="50"/>
      <c r="B77" s="51"/>
      <c r="C77" s="52"/>
      <c r="D77" s="53"/>
      <c r="F77" s="46"/>
    </row>
    <row r="78" spans="1:6" ht="39" thickBot="1">
      <c r="A78" s="54" t="s">
        <v>15</v>
      </c>
      <c r="B78" s="55" t="s">
        <v>16</v>
      </c>
      <c r="C78" s="55" t="s">
        <v>17</v>
      </c>
      <c r="D78" s="56" t="s">
        <v>18</v>
      </c>
      <c r="F78" s="69" t="s">
        <v>81</v>
      </c>
    </row>
    <row r="79" spans="1:6" ht="15.75">
      <c r="A79" s="15" t="s">
        <v>46</v>
      </c>
      <c r="B79" s="16"/>
      <c r="C79" s="17"/>
      <c r="D79" s="18"/>
      <c r="F79" s="70"/>
    </row>
    <row r="80" spans="1:6" ht="15.75">
      <c r="A80" s="19">
        <f>A74-A144</f>
        <v>109246560</v>
      </c>
      <c r="B80" s="20">
        <v>5.2999999999999999E-2</v>
      </c>
      <c r="C80" s="21">
        <f>(A80*B80)/365*90</f>
        <v>1427687.9210958902</v>
      </c>
      <c r="D80" s="22">
        <f>C80+A144</f>
        <v>6890015.92109589</v>
      </c>
      <c r="F80" s="71">
        <f>$A$144</f>
        <v>5462328</v>
      </c>
    </row>
    <row r="81" spans="1:6" ht="15.75">
      <c r="A81" s="19" t="s">
        <v>47</v>
      </c>
      <c r="B81" s="20"/>
      <c r="C81" s="21"/>
      <c r="D81" s="22"/>
      <c r="F81" s="71"/>
    </row>
    <row r="82" spans="1:6" ht="15.75">
      <c r="A82" s="19">
        <f>A80-A144</f>
        <v>103784232</v>
      </c>
      <c r="B82" s="20">
        <v>5.2999999999999999E-2</v>
      </c>
      <c r="C82" s="21">
        <f>(A82*B82)/365*90</f>
        <v>1356303.5250410959</v>
      </c>
      <c r="D82" s="22">
        <f>C82+A144</f>
        <v>6818631.5250410959</v>
      </c>
      <c r="F82" s="71">
        <f>$A$144</f>
        <v>5462328</v>
      </c>
    </row>
    <row r="83" spans="1:6" ht="15.75">
      <c r="A83" s="19" t="s">
        <v>48</v>
      </c>
      <c r="B83" s="20"/>
      <c r="C83" s="21"/>
      <c r="D83" s="22"/>
      <c r="F83" s="71"/>
    </row>
    <row r="84" spans="1:6" ht="15.75">
      <c r="A84" s="19">
        <f>A82-A144</f>
        <v>98321904</v>
      </c>
      <c r="B84" s="20">
        <v>5.2999999999999999E-2</v>
      </c>
      <c r="C84" s="21">
        <f>(A84*B84)/365*90</f>
        <v>1284919.1289863014</v>
      </c>
      <c r="D84" s="22">
        <f>C84+A144</f>
        <v>6747247.1289863009</v>
      </c>
      <c r="F84" s="71">
        <f>$A$144</f>
        <v>5462328</v>
      </c>
    </row>
    <row r="85" spans="1:6" ht="15.75">
      <c r="A85" s="19" t="s">
        <v>49</v>
      </c>
      <c r="B85" s="20"/>
      <c r="C85" s="21"/>
      <c r="D85" s="22"/>
      <c r="F85" s="71"/>
    </row>
    <row r="86" spans="1:6" ht="16.5" thickBot="1">
      <c r="A86" s="19">
        <f>A84-A144</f>
        <v>92859576</v>
      </c>
      <c r="B86" s="20">
        <v>5.2999999999999999E-2</v>
      </c>
      <c r="C86" s="23">
        <f>(A86*B86)/365*90</f>
        <v>1213534.7329315068</v>
      </c>
      <c r="D86" s="22">
        <f>C86+A144</f>
        <v>6675862.7329315068</v>
      </c>
      <c r="F86" s="71">
        <f>$A$144</f>
        <v>5462328</v>
      </c>
    </row>
    <row r="87" spans="1:6" ht="15.75">
      <c r="A87" s="24"/>
      <c r="B87" s="25" t="s">
        <v>23</v>
      </c>
      <c r="C87" s="26">
        <f>SUM(C80:C86)</f>
        <v>5282445.3080547936</v>
      </c>
      <c r="D87" s="27"/>
      <c r="F87" s="72"/>
    </row>
    <row r="88" spans="1:6" ht="33.75" thickBot="1">
      <c r="A88" s="32"/>
      <c r="B88" s="33"/>
      <c r="C88" s="34" t="s">
        <v>50</v>
      </c>
      <c r="D88" s="35">
        <f>SUM(D80:D86)</f>
        <v>27131757.308054794</v>
      </c>
      <c r="F88" s="74">
        <f>SUM(F80:F86)</f>
        <v>21849312</v>
      </c>
    </row>
    <row r="89" spans="1:6" ht="17.25" thickBot="1">
      <c r="A89" s="50"/>
      <c r="B89" s="51"/>
      <c r="C89" s="52"/>
      <c r="D89" s="53"/>
      <c r="F89" s="46"/>
    </row>
    <row r="90" spans="1:6" ht="39" thickBot="1">
      <c r="A90" s="54" t="s">
        <v>15</v>
      </c>
      <c r="B90" s="55" t="s">
        <v>16</v>
      </c>
      <c r="C90" s="55" t="s">
        <v>17</v>
      </c>
      <c r="D90" s="56" t="s">
        <v>18</v>
      </c>
      <c r="F90" s="69" t="s">
        <v>81</v>
      </c>
    </row>
    <row r="91" spans="1:6" ht="15.75">
      <c r="A91" s="15" t="s">
        <v>51</v>
      </c>
      <c r="B91" s="16"/>
      <c r="C91" s="17"/>
      <c r="D91" s="18"/>
      <c r="F91" s="70"/>
    </row>
    <row r="92" spans="1:6" ht="15.75">
      <c r="A92" s="19">
        <f>A86-A144</f>
        <v>87397248</v>
      </c>
      <c r="B92" s="20">
        <v>5.5E-2</v>
      </c>
      <c r="C92" s="21">
        <f>(A92*B92)/365*90</f>
        <v>1185250.349589041</v>
      </c>
      <c r="D92" s="22">
        <f>C92+A144</f>
        <v>6647578.3495890405</v>
      </c>
      <c r="F92" s="71">
        <f>$A$144</f>
        <v>5462328</v>
      </c>
    </row>
    <row r="93" spans="1:6" ht="15.75">
      <c r="A93" s="19" t="s">
        <v>52</v>
      </c>
      <c r="B93" s="20"/>
      <c r="C93" s="21"/>
      <c r="D93" s="22"/>
      <c r="F93" s="71"/>
    </row>
    <row r="94" spans="1:6" ht="15.75">
      <c r="A94" s="19">
        <f>A92-A144</f>
        <v>81934920</v>
      </c>
      <c r="B94" s="20">
        <v>5.5E-2</v>
      </c>
      <c r="C94" s="21">
        <f>(A94*B94)/365*90</f>
        <v>1111172.2027397261</v>
      </c>
      <c r="D94" s="22">
        <f>C94+A144</f>
        <v>6573500.2027397258</v>
      </c>
      <c r="F94" s="71">
        <f>$A$144</f>
        <v>5462328</v>
      </c>
    </row>
    <row r="95" spans="1:6" ht="15.75">
      <c r="A95" s="19" t="s">
        <v>53</v>
      </c>
      <c r="B95" s="20"/>
      <c r="C95" s="21"/>
      <c r="D95" s="22"/>
      <c r="F95" s="71"/>
    </row>
    <row r="96" spans="1:6" ht="15.75">
      <c r="A96" s="19">
        <f>A94-A144</f>
        <v>76472592</v>
      </c>
      <c r="B96" s="20">
        <v>5.5E-2</v>
      </c>
      <c r="C96" s="21">
        <f>(A96*B96)/365*90</f>
        <v>1037094.0558904108</v>
      </c>
      <c r="D96" s="22">
        <f>C96+A144</f>
        <v>6499422.0558904111</v>
      </c>
      <c r="F96" s="71">
        <f>$A$144</f>
        <v>5462328</v>
      </c>
    </row>
    <row r="97" spans="1:6" ht="15.75">
      <c r="A97" s="19" t="s">
        <v>54</v>
      </c>
      <c r="B97" s="20"/>
      <c r="C97" s="21"/>
      <c r="D97" s="22"/>
      <c r="F97" s="71"/>
    </row>
    <row r="98" spans="1:6" ht="16.5" thickBot="1">
      <c r="A98" s="19">
        <f>A96-A144</f>
        <v>71010264</v>
      </c>
      <c r="B98" s="20">
        <v>5.5E-2</v>
      </c>
      <c r="C98" s="23">
        <f>(A98*B98)/365*90</f>
        <v>963015.90904109599</v>
      </c>
      <c r="D98" s="22">
        <f>C98+A144</f>
        <v>6425343.9090410955</v>
      </c>
      <c r="F98" s="71">
        <f>$A$144</f>
        <v>5462328</v>
      </c>
    </row>
    <row r="99" spans="1:6" ht="15.75">
      <c r="A99" s="24"/>
      <c r="B99" s="25" t="s">
        <v>23</v>
      </c>
      <c r="C99" s="26">
        <f>SUM(C92:C98)</f>
        <v>4296532.5172602739</v>
      </c>
      <c r="D99" s="27"/>
      <c r="F99" s="72"/>
    </row>
    <row r="100" spans="1:6" ht="33.75" thickBot="1">
      <c r="A100" s="32"/>
      <c r="B100" s="33"/>
      <c r="C100" s="34" t="s">
        <v>55</v>
      </c>
      <c r="D100" s="35">
        <f>SUM(D92:D98)</f>
        <v>26145844.517260272</v>
      </c>
      <c r="F100" s="74">
        <f>SUM(F92:F98)</f>
        <v>21849312</v>
      </c>
    </row>
    <row r="101" spans="1:6" ht="17.25" thickBot="1">
      <c r="A101" s="50"/>
      <c r="B101" s="51"/>
      <c r="C101" s="52"/>
      <c r="D101" s="53"/>
      <c r="F101" s="46"/>
    </row>
    <row r="102" spans="1:6" ht="39" thickBot="1">
      <c r="A102" s="54" t="s">
        <v>15</v>
      </c>
      <c r="B102" s="55" t="s">
        <v>16</v>
      </c>
      <c r="C102" s="55" t="s">
        <v>17</v>
      </c>
      <c r="D102" s="56" t="s">
        <v>18</v>
      </c>
      <c r="F102" s="69" t="s">
        <v>81</v>
      </c>
    </row>
    <row r="103" spans="1:6" ht="15.75">
      <c r="A103" s="15" t="s">
        <v>56</v>
      </c>
      <c r="B103" s="16"/>
      <c r="C103" s="17"/>
      <c r="D103" s="18"/>
      <c r="F103" s="70"/>
    </row>
    <row r="104" spans="1:6" ht="15.75">
      <c r="A104" s="19">
        <f>A98-A144</f>
        <v>65547936</v>
      </c>
      <c r="B104" s="20">
        <v>5.2999999999999999E-2</v>
      </c>
      <c r="C104" s="21">
        <f>(A104*B104)/365*90</f>
        <v>856612.75265753421</v>
      </c>
      <c r="D104" s="22">
        <f>C104+A144</f>
        <v>6318940.7526575346</v>
      </c>
      <c r="F104" s="71">
        <f>$A$144</f>
        <v>5462328</v>
      </c>
    </row>
    <row r="105" spans="1:6" ht="15.75">
      <c r="A105" s="19" t="s">
        <v>57</v>
      </c>
      <c r="B105" s="20"/>
      <c r="C105" s="21"/>
      <c r="D105" s="22"/>
      <c r="F105" s="71"/>
    </row>
    <row r="106" spans="1:6" ht="15.75">
      <c r="A106" s="19">
        <f>A104-A144</f>
        <v>60085608</v>
      </c>
      <c r="B106" s="20">
        <v>5.2999999999999999E-2</v>
      </c>
      <c r="C106" s="21">
        <f>(A106*B106)/365*90</f>
        <v>785228.35660273978</v>
      </c>
      <c r="D106" s="22">
        <f>C106+A144</f>
        <v>6247556.3566027395</v>
      </c>
      <c r="F106" s="71">
        <f>$A$144</f>
        <v>5462328</v>
      </c>
    </row>
    <row r="107" spans="1:6" ht="15.75">
      <c r="A107" s="19" t="s">
        <v>58</v>
      </c>
      <c r="B107" s="20"/>
      <c r="C107" s="21"/>
      <c r="D107" s="22"/>
      <c r="F107" s="71"/>
    </row>
    <row r="108" spans="1:6" ht="15.75">
      <c r="A108" s="19">
        <f>A106-A144</f>
        <v>54623280</v>
      </c>
      <c r="B108" s="20">
        <v>5.2999999999999999E-2</v>
      </c>
      <c r="C108" s="21">
        <f>(A108*B108)/365*90</f>
        <v>713843.96054794511</v>
      </c>
      <c r="D108" s="22">
        <f>C108+A144</f>
        <v>6176171.9605479455</v>
      </c>
      <c r="F108" s="71">
        <f>$A$144</f>
        <v>5462328</v>
      </c>
    </row>
    <row r="109" spans="1:6" ht="15.75">
      <c r="A109" s="19" t="s">
        <v>59</v>
      </c>
      <c r="B109" s="20"/>
      <c r="C109" s="21"/>
      <c r="D109" s="22"/>
      <c r="F109" s="71"/>
    </row>
    <row r="110" spans="1:6" ht="16.5" thickBot="1">
      <c r="A110" s="19">
        <f>A108-A144</f>
        <v>49160952</v>
      </c>
      <c r="B110" s="20">
        <v>5.2999999999999999E-2</v>
      </c>
      <c r="C110" s="23">
        <f>(A110*B110)/365*90</f>
        <v>642459.56449315068</v>
      </c>
      <c r="D110" s="22">
        <f>C110+A144</f>
        <v>6104787.5644931505</v>
      </c>
      <c r="F110" s="71">
        <f>$A$144</f>
        <v>5462328</v>
      </c>
    </row>
    <row r="111" spans="1:6" ht="15.75">
      <c r="A111" s="24"/>
      <c r="B111" s="25" t="s">
        <v>23</v>
      </c>
      <c r="C111" s="26">
        <f>SUM(C104:C110)</f>
        <v>2998144.63430137</v>
      </c>
      <c r="D111" s="27"/>
      <c r="F111" s="72"/>
    </row>
    <row r="112" spans="1:6" ht="33.75" thickBot="1">
      <c r="A112" s="32"/>
      <c r="B112" s="33"/>
      <c r="C112" s="34" t="s">
        <v>60</v>
      </c>
      <c r="D112" s="35">
        <f>SUM(D104:D110)</f>
        <v>24847456.634301368</v>
      </c>
      <c r="F112" s="74">
        <f>SUM(F104:F110)</f>
        <v>21849312</v>
      </c>
    </row>
    <row r="113" spans="1:6" ht="17.25" thickBot="1">
      <c r="A113" s="50"/>
      <c r="B113" s="51"/>
      <c r="C113" s="52"/>
      <c r="D113" s="53"/>
      <c r="F113" s="46"/>
    </row>
    <row r="114" spans="1:6" ht="39" thickBot="1">
      <c r="A114" s="54" t="s">
        <v>15</v>
      </c>
      <c r="B114" s="55" t="s">
        <v>16</v>
      </c>
      <c r="C114" s="55" t="s">
        <v>17</v>
      </c>
      <c r="D114" s="56" t="s">
        <v>18</v>
      </c>
      <c r="F114" s="69" t="s">
        <v>81</v>
      </c>
    </row>
    <row r="115" spans="1:6" ht="15.75">
      <c r="A115" s="15" t="s">
        <v>61</v>
      </c>
      <c r="B115" s="16"/>
      <c r="C115" s="17"/>
      <c r="D115" s="18"/>
      <c r="F115" s="70"/>
    </row>
    <row r="116" spans="1:6" ht="15.75">
      <c r="A116" s="19">
        <f>A110-A144</f>
        <v>43698624</v>
      </c>
      <c r="B116" s="20">
        <v>0.05</v>
      </c>
      <c r="C116" s="21">
        <f>(A116*B116)/365*90</f>
        <v>538750.15890410962</v>
      </c>
      <c r="D116" s="22">
        <f>C116+A144</f>
        <v>6001078.1589041092</v>
      </c>
      <c r="F116" s="71">
        <f>$A$144</f>
        <v>5462328</v>
      </c>
    </row>
    <row r="117" spans="1:6" ht="15.75">
      <c r="A117" s="19" t="s">
        <v>62</v>
      </c>
      <c r="B117" s="20"/>
      <c r="C117" s="21"/>
      <c r="D117" s="22"/>
      <c r="F117" s="71"/>
    </row>
    <row r="118" spans="1:6" ht="15.75">
      <c r="A118" s="19">
        <f>A116-A144</f>
        <v>38236296</v>
      </c>
      <c r="B118" s="20">
        <v>0.05</v>
      </c>
      <c r="C118" s="21">
        <f>(A118*B118)/365*90</f>
        <v>471406.38904109591</v>
      </c>
      <c r="D118" s="22">
        <f>C118+A144</f>
        <v>5933734.389041096</v>
      </c>
      <c r="F118" s="71">
        <f>$A$144</f>
        <v>5462328</v>
      </c>
    </row>
    <row r="119" spans="1:6" ht="15.75">
      <c r="A119" s="19" t="s">
        <v>63</v>
      </c>
      <c r="B119" s="20"/>
      <c r="C119" s="21"/>
      <c r="D119" s="22"/>
      <c r="F119" s="71"/>
    </row>
    <row r="120" spans="1:6" ht="15.75">
      <c r="A120" s="19">
        <f>A118-A144</f>
        <v>32773968</v>
      </c>
      <c r="B120" s="20">
        <v>0.05</v>
      </c>
      <c r="C120" s="21">
        <f>(A120*B120)/365*90</f>
        <v>404062.61917808221</v>
      </c>
      <c r="D120" s="22">
        <f>C120+A144</f>
        <v>5866390.6191780819</v>
      </c>
      <c r="F120" s="71">
        <f>$A$144</f>
        <v>5462328</v>
      </c>
    </row>
    <row r="121" spans="1:6" ht="15.75">
      <c r="A121" s="19" t="s">
        <v>64</v>
      </c>
      <c r="B121" s="20"/>
      <c r="C121" s="21"/>
      <c r="D121" s="22"/>
      <c r="F121" s="71"/>
    </row>
    <row r="122" spans="1:6" ht="16.5" thickBot="1">
      <c r="A122" s="19">
        <f>A120-A144</f>
        <v>27311640</v>
      </c>
      <c r="B122" s="20">
        <v>0.05</v>
      </c>
      <c r="C122" s="23">
        <f>(A122*B122)/365*90</f>
        <v>336718.84931506851</v>
      </c>
      <c r="D122" s="22">
        <f>C122+A144</f>
        <v>5799046.8493150687</v>
      </c>
      <c r="F122" s="71">
        <f>$A$144</f>
        <v>5462328</v>
      </c>
    </row>
    <row r="123" spans="1:6" ht="15.75">
      <c r="A123" s="24"/>
      <c r="B123" s="25" t="s">
        <v>23</v>
      </c>
      <c r="C123" s="26">
        <f>SUM(C116:C122)</f>
        <v>1750938.0164383564</v>
      </c>
      <c r="D123" s="27"/>
      <c r="F123" s="72"/>
    </row>
    <row r="124" spans="1:6" ht="33.75" thickBot="1">
      <c r="A124" s="32"/>
      <c r="B124" s="33"/>
      <c r="C124" s="34" t="s">
        <v>65</v>
      </c>
      <c r="D124" s="35">
        <f>SUM(D116:D122)</f>
        <v>23600250.016438358</v>
      </c>
      <c r="F124" s="74">
        <f>SUM(F116:F122)</f>
        <v>21849312</v>
      </c>
    </row>
    <row r="125" spans="1:6" ht="17.25" thickBot="1">
      <c r="A125" s="50"/>
      <c r="B125" s="51"/>
      <c r="C125" s="52"/>
      <c r="D125" s="53"/>
      <c r="F125" s="46"/>
    </row>
    <row r="126" spans="1:6" ht="39" thickBot="1">
      <c r="A126" s="54" t="s">
        <v>15</v>
      </c>
      <c r="B126" s="55" t="s">
        <v>16</v>
      </c>
      <c r="C126" s="55" t="s">
        <v>17</v>
      </c>
      <c r="D126" s="56" t="s">
        <v>18</v>
      </c>
      <c r="F126" s="69" t="s">
        <v>81</v>
      </c>
    </row>
    <row r="127" spans="1:6" ht="15.75">
      <c r="A127" s="15" t="s">
        <v>66</v>
      </c>
      <c r="B127" s="16"/>
      <c r="C127" s="17"/>
      <c r="D127" s="18"/>
      <c r="F127" s="70"/>
    </row>
    <row r="128" spans="1:6" ht="15.75">
      <c r="A128" s="19">
        <f>A122-A144</f>
        <v>21849312</v>
      </c>
      <c r="B128" s="20">
        <v>0.05</v>
      </c>
      <c r="C128" s="21">
        <f>(A128*B128)/365*90</f>
        <v>269375.07945205481</v>
      </c>
      <c r="D128" s="22">
        <f>C128+A144</f>
        <v>5731703.0794520546</v>
      </c>
      <c r="F128" s="71">
        <f>$A$144</f>
        <v>5462328</v>
      </c>
    </row>
    <row r="129" spans="1:6" ht="15.75">
      <c r="A129" s="19" t="s">
        <v>67</v>
      </c>
      <c r="B129" s="20"/>
      <c r="C129" s="21"/>
      <c r="D129" s="22"/>
      <c r="F129" s="71"/>
    </row>
    <row r="130" spans="1:6" ht="15.75">
      <c r="A130" s="19">
        <f>A128-A144</f>
        <v>16386984</v>
      </c>
      <c r="B130" s="20">
        <v>0.05</v>
      </c>
      <c r="C130" s="21">
        <f>(A130*B130)/365*90</f>
        <v>202031.30958904111</v>
      </c>
      <c r="D130" s="22">
        <f>C130+A144</f>
        <v>5664359.3095890414</v>
      </c>
      <c r="F130" s="71">
        <f>$A$144</f>
        <v>5462328</v>
      </c>
    </row>
    <row r="131" spans="1:6" ht="15.75">
      <c r="A131" s="19" t="s">
        <v>68</v>
      </c>
      <c r="B131" s="20"/>
      <c r="C131" s="21"/>
      <c r="D131" s="22"/>
      <c r="F131" s="71"/>
    </row>
    <row r="132" spans="1:6" ht="15.75">
      <c r="A132" s="19">
        <f>A130-A144</f>
        <v>10924656</v>
      </c>
      <c r="B132" s="20">
        <v>0.05</v>
      </c>
      <c r="C132" s="21">
        <f>(A132*B132)/365*90</f>
        <v>134687.5397260274</v>
      </c>
      <c r="D132" s="22">
        <f>C132+A144</f>
        <v>5597015.5397260273</v>
      </c>
      <c r="F132" s="71">
        <f>$A$144</f>
        <v>5462328</v>
      </c>
    </row>
    <row r="133" spans="1:6" ht="15.75">
      <c r="A133" s="19" t="s">
        <v>69</v>
      </c>
      <c r="B133" s="20"/>
      <c r="C133" s="21"/>
      <c r="D133" s="22"/>
      <c r="F133" s="71"/>
    </row>
    <row r="134" spans="1:6" ht="16.5" thickBot="1">
      <c r="A134" s="19">
        <f>A132-A144</f>
        <v>5462328</v>
      </c>
      <c r="B134" s="20">
        <v>0.05</v>
      </c>
      <c r="C134" s="23">
        <f>(A134*B134)/365*90</f>
        <v>67343.769863013702</v>
      </c>
      <c r="D134" s="22">
        <f>C134+A144</f>
        <v>5529671.7698630141</v>
      </c>
      <c r="F134" s="71">
        <f>$A$144</f>
        <v>5462328</v>
      </c>
    </row>
    <row r="135" spans="1:6" ht="15.75">
      <c r="A135" s="24"/>
      <c r="B135" s="25" t="s">
        <v>23</v>
      </c>
      <c r="C135" s="26">
        <f>SUM(C128:C134)</f>
        <v>673437.6986301369</v>
      </c>
      <c r="D135" s="27"/>
      <c r="F135" s="72"/>
    </row>
    <row r="136" spans="1:6" ht="33.75" thickBot="1">
      <c r="A136" s="32"/>
      <c r="B136" s="33"/>
      <c r="C136" s="34" t="s">
        <v>70</v>
      </c>
      <c r="D136" s="35">
        <f>SUM(D128:D134)</f>
        <v>22522749.698630136</v>
      </c>
      <c r="F136" s="74">
        <f>SUM(F128:F134)</f>
        <v>21849312</v>
      </c>
    </row>
    <row r="137" spans="1:6" ht="16.5">
      <c r="A137" s="50"/>
      <c r="B137" s="51"/>
      <c r="C137" s="52"/>
      <c r="D137" s="53"/>
    </row>
    <row r="138" spans="1:6" ht="18">
      <c r="A138" s="404" t="s">
        <v>71</v>
      </c>
      <c r="B138" s="404"/>
      <c r="C138" s="404"/>
      <c r="D138" s="57">
        <f>SUM(D140:D142)</f>
        <v>248257984.59846714</v>
      </c>
      <c r="F138" s="78">
        <f>SUM(F16,F40,F52,F64,F76,F88,F100,F112,F124,F136)</f>
        <v>196643833</v>
      </c>
    </row>
    <row r="139" spans="1:6" ht="16.5">
      <c r="A139" s="405" t="s">
        <v>72</v>
      </c>
      <c r="B139" s="405"/>
      <c r="C139" s="405"/>
      <c r="D139" s="58"/>
    </row>
    <row r="140" spans="1:6">
      <c r="A140" s="401" t="s">
        <v>73</v>
      </c>
      <c r="B140" s="401"/>
      <c r="C140" s="401"/>
      <c r="D140" s="59">
        <f>A144*35+A145</f>
        <v>196643833</v>
      </c>
    </row>
    <row r="141" spans="1:6">
      <c r="A141" s="401" t="s">
        <v>74</v>
      </c>
      <c r="B141" s="401"/>
      <c r="C141" s="401"/>
      <c r="D141" s="59">
        <f>SUM(C14,C27,C39,C51,C63,C75,C87,C99,C111,C123,C135)</f>
        <v>51437172.148767136</v>
      </c>
    </row>
    <row r="142" spans="1:6">
      <c r="A142" s="401" t="s">
        <v>75</v>
      </c>
      <c r="B142" s="401"/>
      <c r="C142" s="401"/>
      <c r="D142" s="59">
        <f>C15</f>
        <v>176979.4497</v>
      </c>
    </row>
    <row r="143" spans="1:6">
      <c r="A143" s="60" t="s">
        <v>76</v>
      </c>
      <c r="B143" s="61"/>
    </row>
    <row r="144" spans="1:6" ht="15.75">
      <c r="A144" s="62">
        <v>5462328</v>
      </c>
      <c r="B144" s="63" t="s">
        <v>173</v>
      </c>
    </row>
    <row r="145" spans="1:4" ht="15.75">
      <c r="A145" s="140">
        <v>5462353</v>
      </c>
      <c r="B145" t="s">
        <v>169</v>
      </c>
      <c r="D145" s="63">
        <f>SUM(D141:D142)</f>
        <v>51614151.598467134</v>
      </c>
    </row>
    <row r="147" spans="1:4" ht="15.75">
      <c r="A147" t="s">
        <v>77</v>
      </c>
      <c r="B147" s="64">
        <v>3.8600000000000002E-2</v>
      </c>
    </row>
    <row r="148" spans="1:4">
      <c r="A148" s="61" t="s">
        <v>78</v>
      </c>
      <c r="B148" s="65">
        <v>1.6578999999999999</v>
      </c>
    </row>
    <row r="149" spans="1:4">
      <c r="A149" s="61" t="s">
        <v>79</v>
      </c>
    </row>
    <row r="150" spans="1:4">
      <c r="B150" s="66">
        <f>3.86*165.79%</f>
        <v>6.3994939999999998</v>
      </c>
    </row>
    <row r="152" spans="1:4">
      <c r="B152">
        <v>18500000</v>
      </c>
    </row>
  </sheetData>
  <mergeCells count="7">
    <mergeCell ref="A142:C142"/>
    <mergeCell ref="A2:F2"/>
    <mergeCell ref="A3:D3"/>
    <mergeCell ref="A138:C138"/>
    <mergeCell ref="A139:C139"/>
    <mergeCell ref="A140:C140"/>
    <mergeCell ref="A141:C141"/>
  </mergeCells>
  <pageMargins left="0.22" right="0.22" top="0.28000000000000003" bottom="0.41" header="0.2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2:G152"/>
  <sheetViews>
    <sheetView topLeftCell="A117" zoomScale="80" zoomScaleNormal="80" workbookViewId="0">
      <selection activeCell="C147" sqref="C147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02" t="s">
        <v>160</v>
      </c>
      <c r="B2" s="402"/>
      <c r="C2" s="402"/>
      <c r="D2" s="402"/>
      <c r="E2" s="402"/>
      <c r="F2" s="402"/>
    </row>
    <row r="3" spans="1:7">
      <c r="A3" s="403"/>
      <c r="B3" s="403"/>
      <c r="C3" s="403"/>
      <c r="D3" s="403"/>
      <c r="F3" s="67" t="s">
        <v>80</v>
      </c>
      <c r="G3" s="68"/>
    </row>
    <row r="4" spans="1:7" ht="15" thickBot="1">
      <c r="D4" s="11" t="s">
        <v>14</v>
      </c>
    </row>
    <row r="5" spans="1:7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7" ht="15.75">
      <c r="A6" s="15" t="s">
        <v>26</v>
      </c>
      <c r="B6" s="16"/>
      <c r="C6" s="17"/>
      <c r="D6" s="18"/>
      <c r="F6" s="70"/>
    </row>
    <row r="7" spans="1:7" ht="15.75">
      <c r="A7" s="19"/>
      <c r="B7" s="20">
        <v>0</v>
      </c>
      <c r="C7" s="21">
        <f>(A7*B7)/365*90</f>
        <v>0</v>
      </c>
      <c r="D7" s="22">
        <v>0</v>
      </c>
      <c r="F7" s="71">
        <v>0</v>
      </c>
    </row>
    <row r="8" spans="1:7" ht="15.75">
      <c r="A8" s="19" t="s">
        <v>27</v>
      </c>
      <c r="B8" s="20"/>
      <c r="C8" s="21"/>
      <c r="D8" s="22"/>
      <c r="F8" s="71"/>
    </row>
    <row r="9" spans="1:7" ht="15.75">
      <c r="A9" s="19"/>
      <c r="B9" s="20">
        <v>0</v>
      </c>
      <c r="C9" s="21">
        <f>(A9*B9)/365*90</f>
        <v>0</v>
      </c>
      <c r="D9" s="22">
        <v>0</v>
      </c>
      <c r="F9" s="71">
        <v>0</v>
      </c>
    </row>
    <row r="10" spans="1:7" ht="15.75">
      <c r="A10" s="19" t="s">
        <v>28</v>
      </c>
      <c r="B10" s="20"/>
      <c r="C10" s="21"/>
      <c r="D10" s="22"/>
      <c r="F10" s="71"/>
    </row>
    <row r="11" spans="1:7" ht="15.75">
      <c r="A11" s="19"/>
      <c r="B11" s="20">
        <v>0</v>
      </c>
      <c r="C11" s="21">
        <f>(A11*B11)/365*90</f>
        <v>0</v>
      </c>
      <c r="D11" s="22">
        <v>0</v>
      </c>
      <c r="F11" s="71">
        <v>0</v>
      </c>
    </row>
    <row r="12" spans="1:7" ht="15.75">
      <c r="A12" s="19" t="s">
        <v>29</v>
      </c>
      <c r="B12" s="20"/>
      <c r="C12" s="21"/>
      <c r="D12" s="22"/>
      <c r="F12" s="71"/>
    </row>
    <row r="13" spans="1:7" ht="16.5" thickBot="1">
      <c r="A13" s="19"/>
      <c r="B13" s="20">
        <v>0</v>
      </c>
      <c r="C13" s="23">
        <f>(A13*B13)/365*90</f>
        <v>0</v>
      </c>
      <c r="D13" s="22">
        <f>C13</f>
        <v>0</v>
      </c>
      <c r="F13" s="71">
        <f>E13</f>
        <v>0</v>
      </c>
    </row>
    <row r="14" spans="1:7" ht="15.75">
      <c r="A14" s="24"/>
      <c r="B14" s="25" t="s">
        <v>23</v>
      </c>
      <c r="C14" s="26">
        <f>SUM(C7:C13)</f>
        <v>0</v>
      </c>
      <c r="D14" s="27"/>
      <c r="F14" s="72"/>
    </row>
    <row r="15" spans="1:7" ht="15.75">
      <c r="A15" s="28"/>
      <c r="B15" s="29" t="s">
        <v>24</v>
      </c>
      <c r="C15" s="30">
        <f>0.4%*A38</f>
        <v>1211004</v>
      </c>
      <c r="D15" s="31"/>
      <c r="F15" s="73"/>
    </row>
    <row r="16" spans="1:7" ht="33.75" thickBot="1">
      <c r="A16" s="32"/>
      <c r="B16" s="33"/>
      <c r="C16" s="34" t="s">
        <v>30</v>
      </c>
      <c r="D16" s="35">
        <f>SUM(D7:D13)+C15</f>
        <v>1211004</v>
      </c>
      <c r="F16" s="74">
        <f>SUM(F7:F13)+E15</f>
        <v>0</v>
      </c>
    </row>
    <row r="17" spans="1:6" ht="15" thickBot="1">
      <c r="A17" s="36"/>
      <c r="B17" s="36"/>
      <c r="C17" s="36"/>
      <c r="D17" s="36"/>
      <c r="F17" s="77"/>
    </row>
    <row r="18" spans="1:6" ht="39" hidden="1" customHeight="1" thickBot="1">
      <c r="A18" s="12" t="s">
        <v>15</v>
      </c>
      <c r="B18" s="13" t="s">
        <v>16</v>
      </c>
      <c r="C18" s="13" t="s">
        <v>17</v>
      </c>
      <c r="D18" s="14" t="s">
        <v>18</v>
      </c>
      <c r="F18" s="69" t="s">
        <v>18</v>
      </c>
    </row>
    <row r="19" spans="1:6" ht="16.5" hidden="1" customHeight="1" thickBot="1">
      <c r="A19" s="15"/>
      <c r="B19" s="16"/>
      <c r="C19" s="17"/>
      <c r="D19" s="18"/>
      <c r="F19" s="70"/>
    </row>
    <row r="20" spans="1:6" ht="16.5" hidden="1" customHeight="1" thickBot="1">
      <c r="A20" s="19"/>
      <c r="B20" s="20"/>
      <c r="C20" s="21"/>
      <c r="D20" s="22"/>
      <c r="F20" s="71"/>
    </row>
    <row r="21" spans="1:6" ht="16.5" hidden="1" customHeight="1" thickBot="1">
      <c r="A21" s="19"/>
      <c r="B21" s="20"/>
      <c r="C21" s="21"/>
      <c r="D21" s="22"/>
      <c r="F21" s="71"/>
    </row>
    <row r="22" spans="1:6" ht="16.5" hidden="1" customHeight="1" thickBot="1">
      <c r="A22" s="19"/>
      <c r="B22" s="20"/>
      <c r="C22" s="21"/>
      <c r="D22" s="22"/>
      <c r="F22" s="71"/>
    </row>
    <row r="23" spans="1:6" ht="16.5" hidden="1" customHeight="1" thickBot="1">
      <c r="A23" s="19"/>
      <c r="B23" s="20"/>
      <c r="C23" s="21"/>
      <c r="D23" s="22"/>
      <c r="F23" s="71"/>
    </row>
    <row r="24" spans="1:6" ht="16.5" hidden="1" customHeight="1" thickBot="1">
      <c r="A24" s="19"/>
      <c r="B24" s="20"/>
      <c r="C24" s="21"/>
      <c r="D24" s="22"/>
      <c r="F24" s="71"/>
    </row>
    <row r="25" spans="1:6" ht="16.5" hidden="1" customHeight="1" thickBot="1">
      <c r="A25" s="19"/>
      <c r="B25" s="20"/>
      <c r="C25" s="21"/>
      <c r="D25" s="22"/>
      <c r="F25" s="71"/>
    </row>
    <row r="26" spans="1:6" ht="16.5" hidden="1" customHeight="1" thickBot="1">
      <c r="A26" s="19"/>
      <c r="B26" s="20"/>
      <c r="C26" s="23"/>
      <c r="D26" s="22"/>
      <c r="F26" s="71"/>
    </row>
    <row r="27" spans="1:6" ht="16.5" hidden="1" customHeight="1" thickBot="1">
      <c r="A27" s="24"/>
      <c r="B27" s="25"/>
      <c r="C27" s="26"/>
      <c r="D27" s="27"/>
      <c r="F27" s="72"/>
    </row>
    <row r="28" spans="1:6" ht="17.25" hidden="1" customHeight="1" thickBot="1">
      <c r="A28" s="32"/>
      <c r="B28" s="33"/>
      <c r="C28" s="34"/>
      <c r="D28" s="35"/>
      <c r="F28" s="74"/>
    </row>
    <row r="29" spans="1:6" ht="15" hidden="1" customHeight="1" thickBot="1">
      <c r="A29" s="36"/>
      <c r="B29" s="37"/>
      <c r="C29" s="38"/>
      <c r="D29" s="36"/>
      <c r="F29" s="75"/>
    </row>
    <row r="30" spans="1:6" ht="39" thickBot="1">
      <c r="A30" s="12" t="s">
        <v>15</v>
      </c>
      <c r="B30" s="13" t="s">
        <v>16</v>
      </c>
      <c r="C30" s="13" t="s">
        <v>17</v>
      </c>
      <c r="D30" s="14" t="s">
        <v>18</v>
      </c>
      <c r="F30" s="69" t="s">
        <v>81</v>
      </c>
    </row>
    <row r="31" spans="1:6" ht="15.75">
      <c r="A31" s="15" t="s">
        <v>26</v>
      </c>
      <c r="B31" s="16"/>
      <c r="C31" s="17"/>
      <c r="D31" s="18"/>
      <c r="F31" s="70"/>
    </row>
    <row r="32" spans="1:6" ht="15.75">
      <c r="A32" s="19"/>
      <c r="B32" s="20">
        <v>0</v>
      </c>
      <c r="C32" s="21">
        <f>(A32*B32)/365*90</f>
        <v>0</v>
      </c>
      <c r="D32" s="22">
        <v>0</v>
      </c>
      <c r="F32" s="71"/>
    </row>
    <row r="33" spans="1:6" ht="15.75">
      <c r="A33" s="19" t="s">
        <v>27</v>
      </c>
      <c r="B33" s="20"/>
      <c r="C33" s="21"/>
      <c r="D33" s="22"/>
      <c r="F33" s="71"/>
    </row>
    <row r="34" spans="1:6" ht="15.75">
      <c r="A34" s="19"/>
      <c r="B34" s="20">
        <v>0</v>
      </c>
      <c r="C34" s="21">
        <f>(A34*B34)/365*90</f>
        <v>0</v>
      </c>
      <c r="D34" s="22">
        <v>0</v>
      </c>
      <c r="F34" s="71"/>
    </row>
    <row r="35" spans="1:6" ht="15.75">
      <c r="A35" s="19" t="s">
        <v>28</v>
      </c>
      <c r="B35" s="20"/>
      <c r="C35" s="21"/>
      <c r="D35" s="22"/>
      <c r="F35" s="71"/>
    </row>
    <row r="36" spans="1:6" ht="15.75">
      <c r="A36" s="19"/>
      <c r="B36" s="20">
        <v>0</v>
      </c>
      <c r="C36" s="21">
        <f>(A36*B36)/365*90</f>
        <v>0</v>
      </c>
      <c r="D36" s="22">
        <v>0</v>
      </c>
      <c r="F36" s="71"/>
    </row>
    <row r="37" spans="1:6" ht="15.75">
      <c r="A37" s="19" t="s">
        <v>29</v>
      </c>
      <c r="B37" s="20"/>
      <c r="C37" s="21"/>
      <c r="D37" s="22"/>
      <c r="F37" s="71"/>
    </row>
    <row r="38" spans="1:6" ht="16.5" thickBot="1">
      <c r="A38" s="19">
        <f>'Zestawienie kredytów'!F38</f>
        <v>302751000</v>
      </c>
      <c r="B38" s="20">
        <v>0</v>
      </c>
      <c r="C38" s="23">
        <f>(A38*B38)/365*90</f>
        <v>0</v>
      </c>
      <c r="D38" s="22">
        <f>C38</f>
        <v>0</v>
      </c>
      <c r="F38" s="71"/>
    </row>
    <row r="39" spans="1:6" ht="15.75">
      <c r="A39" s="24"/>
      <c r="B39" s="25" t="s">
        <v>23</v>
      </c>
      <c r="C39" s="26">
        <f>SUM(C32:C38)</f>
        <v>0</v>
      </c>
      <c r="D39" s="27"/>
      <c r="F39" s="72"/>
    </row>
    <row r="40" spans="1:6" ht="33.75" thickBot="1">
      <c r="A40" s="32"/>
      <c r="B40" s="33"/>
      <c r="C40" s="34" t="s">
        <v>30</v>
      </c>
      <c r="D40" s="35">
        <f>SUM(D32:D38)</f>
        <v>0</v>
      </c>
      <c r="F40" s="74">
        <f>SUM(F32:F38)</f>
        <v>0</v>
      </c>
    </row>
    <row r="41" spans="1:6" ht="15" thickBot="1">
      <c r="A41" s="36"/>
      <c r="B41" s="37"/>
      <c r="C41" s="38"/>
      <c r="D41" s="36"/>
      <c r="F41" s="77"/>
    </row>
    <row r="42" spans="1:6" ht="39" thickBot="1">
      <c r="A42" s="12" t="s">
        <v>15</v>
      </c>
      <c r="B42" s="13" t="s">
        <v>16</v>
      </c>
      <c r="C42" s="13" t="s">
        <v>17</v>
      </c>
      <c r="D42" s="14" t="s">
        <v>18</v>
      </c>
      <c r="F42" s="69" t="s">
        <v>81</v>
      </c>
    </row>
    <row r="43" spans="1:6" ht="15.75">
      <c r="A43" s="15" t="s">
        <v>31</v>
      </c>
      <c r="B43" s="16"/>
      <c r="C43" s="17"/>
      <c r="D43" s="18"/>
      <c r="F43" s="70"/>
    </row>
    <row r="44" spans="1:6" ht="15.75">
      <c r="A44" s="19">
        <f>A38</f>
        <v>302751000</v>
      </c>
      <c r="B44" s="20">
        <v>5.8999999999999997E-2</v>
      </c>
      <c r="C44" s="21">
        <f>(A44*B44)/365*180</f>
        <v>8808809.9178082198</v>
      </c>
      <c r="D44" s="22">
        <f>C44+A144</f>
        <v>18269777.91780822</v>
      </c>
      <c r="F44" s="71">
        <f>$A$145</f>
        <v>9460992</v>
      </c>
    </row>
    <row r="45" spans="1:6" ht="15.75">
      <c r="A45" s="19" t="s">
        <v>32</v>
      </c>
      <c r="B45" s="20"/>
      <c r="C45" s="21"/>
      <c r="D45" s="22"/>
      <c r="F45" s="71"/>
    </row>
    <row r="46" spans="1:6" ht="15.75">
      <c r="A46" s="19">
        <f>A44-A145</f>
        <v>293290008</v>
      </c>
      <c r="B46" s="20">
        <v>5.8999999999999997E-2</v>
      </c>
      <c r="C46" s="21">
        <f>(A46*B46)/365*90</f>
        <v>4266766.9656986305</v>
      </c>
      <c r="D46" s="22">
        <f>C46+A144</f>
        <v>13727734.96569863</v>
      </c>
      <c r="F46" s="71">
        <f>$A$144</f>
        <v>9460968</v>
      </c>
    </row>
    <row r="47" spans="1:6" ht="15.75">
      <c r="A47" s="19" t="s">
        <v>33</v>
      </c>
      <c r="B47" s="20"/>
      <c r="C47" s="21"/>
      <c r="D47" s="22"/>
      <c r="F47" s="71"/>
    </row>
    <row r="48" spans="1:6" ht="15.75">
      <c r="A48" s="19">
        <f>A46-A144</f>
        <v>283829040</v>
      </c>
      <c r="B48" s="20">
        <v>5.5E-2</v>
      </c>
      <c r="C48" s="21">
        <f>(A48*B48)/365*90</f>
        <v>3849188.3506849315</v>
      </c>
      <c r="D48" s="22">
        <f>C48+A144</f>
        <v>13310156.350684932</v>
      </c>
      <c r="F48" s="71">
        <f>$A$144</f>
        <v>9460968</v>
      </c>
    </row>
    <row r="49" spans="1:6" ht="15.75">
      <c r="A49" s="19" t="s">
        <v>34</v>
      </c>
      <c r="B49" s="20"/>
      <c r="C49" s="21"/>
      <c r="D49" s="22"/>
      <c r="F49" s="71"/>
    </row>
    <row r="50" spans="1:6" ht="16.5" thickBot="1">
      <c r="A50" s="19">
        <f>A48-A144</f>
        <v>274368072</v>
      </c>
      <c r="B50" s="20">
        <v>5.5E-2</v>
      </c>
      <c r="C50" s="23">
        <f>(A50*B50)/365*90</f>
        <v>3720882.0723287668</v>
      </c>
      <c r="D50" s="22">
        <f>C50+A144</f>
        <v>13181850.072328767</v>
      </c>
      <c r="F50" s="71">
        <f>$A$144</f>
        <v>9460968</v>
      </c>
    </row>
    <row r="51" spans="1:6" ht="15.75">
      <c r="A51" s="24"/>
      <c r="B51" s="25" t="s">
        <v>23</v>
      </c>
      <c r="C51" s="26">
        <f>SUM(C44:C50)</f>
        <v>20645647.306520551</v>
      </c>
      <c r="D51" s="27"/>
      <c r="F51" s="72"/>
    </row>
    <row r="52" spans="1:6" ht="33.75" thickBot="1">
      <c r="A52" s="39"/>
      <c r="B52" s="40"/>
      <c r="C52" s="41" t="s">
        <v>35</v>
      </c>
      <c r="D52" s="42">
        <f>SUM(D44:D50)</f>
        <v>58489519.306520551</v>
      </c>
      <c r="F52" s="76">
        <f>SUM(F44:F50)</f>
        <v>37843896</v>
      </c>
    </row>
    <row r="53" spans="1:6" ht="17.25" thickBot="1">
      <c r="A53" s="43"/>
      <c r="B53" s="44"/>
      <c r="C53" s="45"/>
      <c r="D53" s="46"/>
      <c r="F53" s="46"/>
    </row>
    <row r="54" spans="1:6" ht="39" thickBot="1">
      <c r="A54" s="47" t="s">
        <v>15</v>
      </c>
      <c r="B54" s="48" t="s">
        <v>16</v>
      </c>
      <c r="C54" s="48" t="s">
        <v>17</v>
      </c>
      <c r="D54" s="49" t="s">
        <v>18</v>
      </c>
      <c r="F54" s="69" t="s">
        <v>81</v>
      </c>
    </row>
    <row r="55" spans="1:6" ht="15.75">
      <c r="A55" s="15" t="s">
        <v>36</v>
      </c>
      <c r="B55" s="16"/>
      <c r="C55" s="17"/>
      <c r="D55" s="18"/>
      <c r="F55" s="70"/>
    </row>
    <row r="56" spans="1:6" ht="15.75">
      <c r="A56" s="19">
        <f>A50-A144</f>
        <v>264907104</v>
      </c>
      <c r="B56" s="20">
        <v>5.5E-2</v>
      </c>
      <c r="C56" s="21">
        <f>(A56*B56)/365*90</f>
        <v>3592575.7939726026</v>
      </c>
      <c r="D56" s="22">
        <f>C56+A144</f>
        <v>13053543.793972602</v>
      </c>
      <c r="F56" s="71">
        <f>$A$144</f>
        <v>9460968</v>
      </c>
    </row>
    <row r="57" spans="1:6" ht="15.75">
      <c r="A57" s="19" t="s">
        <v>37</v>
      </c>
      <c r="B57" s="20"/>
      <c r="C57" s="21"/>
      <c r="D57" s="22"/>
      <c r="F57" s="71"/>
    </row>
    <row r="58" spans="1:6" ht="15.75">
      <c r="A58" s="19">
        <f>A56-A144</f>
        <v>255446136</v>
      </c>
      <c r="B58" s="20">
        <v>5.5E-2</v>
      </c>
      <c r="C58" s="21">
        <f>(A58*B58)/365*90</f>
        <v>3464269.5156164384</v>
      </c>
      <c r="D58" s="22">
        <f>C58+A144</f>
        <v>12925237.515616439</v>
      </c>
      <c r="F58" s="71">
        <f>$A$144</f>
        <v>9460968</v>
      </c>
    </row>
    <row r="59" spans="1:6" ht="15.75">
      <c r="A59" s="19" t="s">
        <v>38</v>
      </c>
      <c r="B59" s="20"/>
      <c r="C59" s="21"/>
      <c r="D59" s="22"/>
      <c r="F59" s="71"/>
    </row>
    <row r="60" spans="1:6" ht="15.75">
      <c r="A60" s="19">
        <f>A58-A144</f>
        <v>245985168</v>
      </c>
      <c r="B60" s="20">
        <v>5.2999999999999999E-2</v>
      </c>
      <c r="C60" s="21">
        <f>(A60*B60)/365*90</f>
        <v>3214655.4831780819</v>
      </c>
      <c r="D60" s="22">
        <f>C60+A144</f>
        <v>12675623.483178083</v>
      </c>
      <c r="F60" s="71">
        <f>$A$144</f>
        <v>9460968</v>
      </c>
    </row>
    <row r="61" spans="1:6" ht="15.75">
      <c r="A61" s="19" t="s">
        <v>39</v>
      </c>
      <c r="B61" s="20"/>
      <c r="C61" s="21"/>
      <c r="D61" s="22"/>
      <c r="F61" s="71"/>
    </row>
    <row r="62" spans="1:6" ht="16.5" thickBot="1">
      <c r="A62" s="19">
        <f>A60-A144</f>
        <v>236524200</v>
      </c>
      <c r="B62" s="20">
        <v>5.2999999999999999E-2</v>
      </c>
      <c r="C62" s="23">
        <f>(A62*B62)/365*90</f>
        <v>3091014.8876712327</v>
      </c>
      <c r="D62" s="22">
        <f>C62+A144</f>
        <v>12551982.887671232</v>
      </c>
      <c r="F62" s="71">
        <f>$A$144</f>
        <v>9460968</v>
      </c>
    </row>
    <row r="63" spans="1:6" ht="15.75">
      <c r="A63" s="24"/>
      <c r="B63" s="25" t="s">
        <v>23</v>
      </c>
      <c r="C63" s="26">
        <f>SUM(C56:C62)</f>
        <v>13362515.680438355</v>
      </c>
      <c r="D63" s="27"/>
      <c r="F63" s="72"/>
    </row>
    <row r="64" spans="1:6" ht="33.75" thickBot="1">
      <c r="A64" s="32"/>
      <c r="B64" s="33"/>
      <c r="C64" s="34" t="s">
        <v>40</v>
      </c>
      <c r="D64" s="35">
        <f>SUM(D56:D62)</f>
        <v>51206387.680438355</v>
      </c>
      <c r="F64" s="74">
        <f>SUM(F56:F62)</f>
        <v>37843872</v>
      </c>
    </row>
    <row r="65" spans="1:6" ht="17.25" thickBot="1">
      <c r="A65" s="50"/>
      <c r="B65" s="51"/>
      <c r="C65" s="52"/>
      <c r="D65" s="53"/>
      <c r="F65" s="46"/>
    </row>
    <row r="66" spans="1:6" ht="39" thickBot="1">
      <c r="A66" s="54" t="s">
        <v>15</v>
      </c>
      <c r="B66" s="55" t="s">
        <v>16</v>
      </c>
      <c r="C66" s="55" t="s">
        <v>17</v>
      </c>
      <c r="D66" s="56" t="s">
        <v>18</v>
      </c>
      <c r="F66" s="69" t="s">
        <v>81</v>
      </c>
    </row>
    <row r="67" spans="1:6" ht="15.75">
      <c r="A67" s="15" t="s">
        <v>41</v>
      </c>
      <c r="B67" s="16"/>
      <c r="C67" s="17"/>
      <c r="D67" s="18"/>
      <c r="F67" s="70"/>
    </row>
    <row r="68" spans="1:6" ht="15.75">
      <c r="A68" s="19">
        <f>A62-A144</f>
        <v>227063232</v>
      </c>
      <c r="B68" s="20">
        <v>0.05</v>
      </c>
      <c r="C68" s="21">
        <f>(A68*B68)/365*90</f>
        <v>2799409.7095890413</v>
      </c>
      <c r="D68" s="22">
        <f>C68+A144</f>
        <v>12260377.709589042</v>
      </c>
      <c r="F68" s="71">
        <f>$A$144</f>
        <v>9460968</v>
      </c>
    </row>
    <row r="69" spans="1:6" ht="15.75">
      <c r="A69" s="19" t="s">
        <v>42</v>
      </c>
      <c r="B69" s="20"/>
      <c r="C69" s="21"/>
      <c r="D69" s="22"/>
      <c r="F69" s="71"/>
    </row>
    <row r="70" spans="1:6" ht="15.75">
      <c r="A70" s="19">
        <f>A68-A144</f>
        <v>217602264</v>
      </c>
      <c r="B70" s="20">
        <v>0.05</v>
      </c>
      <c r="C70" s="21">
        <f>(A70*B70)/365*90</f>
        <v>2682767.6383561646</v>
      </c>
      <c r="D70" s="22">
        <f>C70+A144</f>
        <v>12143735.638356164</v>
      </c>
      <c r="F70" s="71">
        <f>$A$144</f>
        <v>9460968</v>
      </c>
    </row>
    <row r="71" spans="1:6" ht="15.75">
      <c r="A71" s="19" t="s">
        <v>43</v>
      </c>
      <c r="B71" s="20"/>
      <c r="C71" s="21"/>
      <c r="D71" s="22"/>
      <c r="F71" s="71"/>
    </row>
    <row r="72" spans="1:6" ht="15.75">
      <c r="A72" s="19">
        <f>A70-A144</f>
        <v>208141296</v>
      </c>
      <c r="B72" s="20">
        <v>0.05</v>
      </c>
      <c r="C72" s="21">
        <f>(A72*B72)/365*90</f>
        <v>2566125.5671232878</v>
      </c>
      <c r="D72" s="22">
        <f>C72+A144</f>
        <v>12027093.567123288</v>
      </c>
      <c r="F72" s="71">
        <f>$A$144</f>
        <v>9460968</v>
      </c>
    </row>
    <row r="73" spans="1:6" ht="15.75">
      <c r="A73" s="19" t="s">
        <v>44</v>
      </c>
      <c r="B73" s="20"/>
      <c r="C73" s="21"/>
      <c r="D73" s="22"/>
      <c r="F73" s="71"/>
    </row>
    <row r="74" spans="1:6" ht="16.5" thickBot="1">
      <c r="A74" s="19">
        <f>A72-A144</f>
        <v>198680328</v>
      </c>
      <c r="B74" s="20">
        <v>0.05</v>
      </c>
      <c r="C74" s="23">
        <f>(A74*B74)/365*90</f>
        <v>2449483.4958904111</v>
      </c>
      <c r="D74" s="22">
        <f>C74+A144</f>
        <v>11910451.495890411</v>
      </c>
      <c r="F74" s="71">
        <f>$A$144</f>
        <v>9460968</v>
      </c>
    </row>
    <row r="75" spans="1:6" ht="15.75">
      <c r="A75" s="24"/>
      <c r="B75" s="25" t="s">
        <v>23</v>
      </c>
      <c r="C75" s="26">
        <f>SUM(C68:C74)</f>
        <v>10497786.410958905</v>
      </c>
      <c r="D75" s="27"/>
      <c r="F75" s="72"/>
    </row>
    <row r="76" spans="1:6" ht="33.75" thickBot="1">
      <c r="A76" s="32"/>
      <c r="B76" s="33"/>
      <c r="C76" s="34" t="s">
        <v>45</v>
      </c>
      <c r="D76" s="35">
        <f>SUM(D68:D74)</f>
        <v>48341658.410958901</v>
      </c>
      <c r="F76" s="74">
        <f>SUM(F68:F74)</f>
        <v>37843872</v>
      </c>
    </row>
    <row r="77" spans="1:6" ht="17.25" thickBot="1">
      <c r="A77" s="50"/>
      <c r="B77" s="51"/>
      <c r="C77" s="52"/>
      <c r="D77" s="53"/>
      <c r="F77" s="46"/>
    </row>
    <row r="78" spans="1:6" ht="39" thickBot="1">
      <c r="A78" s="54" t="s">
        <v>15</v>
      </c>
      <c r="B78" s="55" t="s">
        <v>16</v>
      </c>
      <c r="C78" s="55" t="s">
        <v>17</v>
      </c>
      <c r="D78" s="56" t="s">
        <v>18</v>
      </c>
      <c r="F78" s="69" t="s">
        <v>81</v>
      </c>
    </row>
    <row r="79" spans="1:6" ht="15.75">
      <c r="A79" s="15" t="s">
        <v>46</v>
      </c>
      <c r="B79" s="16"/>
      <c r="C79" s="17"/>
      <c r="D79" s="18"/>
      <c r="F79" s="70"/>
    </row>
    <row r="80" spans="1:6" ht="15.75">
      <c r="A80" s="19">
        <f>A74-A144</f>
        <v>189219360</v>
      </c>
      <c r="B80" s="20">
        <v>5.2999999999999999E-2</v>
      </c>
      <c r="C80" s="21">
        <f>(A80*B80)/365*90</f>
        <v>2472811.9101369861</v>
      </c>
      <c r="D80" s="22">
        <f>C80+A144</f>
        <v>11933779.910136987</v>
      </c>
      <c r="F80" s="71">
        <f>$A$144</f>
        <v>9460968</v>
      </c>
    </row>
    <row r="81" spans="1:6" ht="15.75">
      <c r="A81" s="19" t="s">
        <v>47</v>
      </c>
      <c r="B81" s="20"/>
      <c r="C81" s="21"/>
      <c r="D81" s="22"/>
      <c r="F81" s="71"/>
    </row>
    <row r="82" spans="1:6" ht="15.75">
      <c r="A82" s="19">
        <f>A80-A144</f>
        <v>179758392</v>
      </c>
      <c r="B82" s="20">
        <v>5.2999999999999999E-2</v>
      </c>
      <c r="C82" s="21">
        <f>(A82*B82)/365*90</f>
        <v>2349171.3146301373</v>
      </c>
      <c r="D82" s="22">
        <f>C82+A144</f>
        <v>11810139.314630138</v>
      </c>
      <c r="F82" s="71">
        <f>$A$144</f>
        <v>9460968</v>
      </c>
    </row>
    <row r="83" spans="1:6" ht="15.75">
      <c r="A83" s="19" t="s">
        <v>48</v>
      </c>
      <c r="B83" s="20"/>
      <c r="C83" s="21"/>
      <c r="D83" s="22"/>
      <c r="F83" s="71"/>
    </row>
    <row r="84" spans="1:6" ht="15.75">
      <c r="A84" s="19">
        <f>A82-A144</f>
        <v>170297424</v>
      </c>
      <c r="B84" s="20">
        <v>5.2999999999999999E-2</v>
      </c>
      <c r="C84" s="21">
        <f>(A84*B84)/365*90</f>
        <v>2225530.7191232871</v>
      </c>
      <c r="D84" s="22">
        <f>C84+A144</f>
        <v>11686498.719123287</v>
      </c>
      <c r="F84" s="71">
        <f>$A$144</f>
        <v>9460968</v>
      </c>
    </row>
    <row r="85" spans="1:6" ht="15.75">
      <c r="A85" s="19" t="s">
        <v>49</v>
      </c>
      <c r="B85" s="20"/>
      <c r="C85" s="21"/>
      <c r="D85" s="22"/>
      <c r="F85" s="71"/>
    </row>
    <row r="86" spans="1:6" ht="16.5" thickBot="1">
      <c r="A86" s="19">
        <f>A84-A144</f>
        <v>160836456</v>
      </c>
      <c r="B86" s="20">
        <v>5.2999999999999999E-2</v>
      </c>
      <c r="C86" s="23">
        <f>(A86*B86)/365*90</f>
        <v>2101890.1236164384</v>
      </c>
      <c r="D86" s="22">
        <f>C86+A144</f>
        <v>11562858.123616438</v>
      </c>
      <c r="F86" s="71">
        <f>$A$144</f>
        <v>9460968</v>
      </c>
    </row>
    <row r="87" spans="1:6" ht="15.75">
      <c r="A87" s="24"/>
      <c r="B87" s="25" t="s">
        <v>23</v>
      </c>
      <c r="C87" s="26">
        <f>SUM(C80:C86)</f>
        <v>9149404.0675068498</v>
      </c>
      <c r="D87" s="27"/>
      <c r="F87" s="72"/>
    </row>
    <row r="88" spans="1:6" ht="33.75" thickBot="1">
      <c r="A88" s="32"/>
      <c r="B88" s="33"/>
      <c r="C88" s="34" t="s">
        <v>50</v>
      </c>
      <c r="D88" s="35">
        <f>SUM(D80:D86)</f>
        <v>46993276.06750685</v>
      </c>
      <c r="F88" s="74">
        <f>SUM(F80:F86)</f>
        <v>37843872</v>
      </c>
    </row>
    <row r="89" spans="1:6" ht="17.25" thickBot="1">
      <c r="A89" s="50"/>
      <c r="B89" s="51"/>
      <c r="C89" s="52"/>
      <c r="D89" s="53"/>
      <c r="F89" s="46"/>
    </row>
    <row r="90" spans="1:6" ht="39" thickBot="1">
      <c r="A90" s="54" t="s">
        <v>15</v>
      </c>
      <c r="B90" s="55" t="s">
        <v>16</v>
      </c>
      <c r="C90" s="55" t="s">
        <v>17</v>
      </c>
      <c r="D90" s="56" t="s">
        <v>18</v>
      </c>
      <c r="F90" s="69" t="s">
        <v>81</v>
      </c>
    </row>
    <row r="91" spans="1:6" ht="15.75">
      <c r="A91" s="15" t="s">
        <v>51</v>
      </c>
      <c r="B91" s="16"/>
      <c r="C91" s="17"/>
      <c r="D91" s="18"/>
      <c r="F91" s="70"/>
    </row>
    <row r="92" spans="1:6" ht="15.75">
      <c r="A92" s="19">
        <f>A86-A144</f>
        <v>151375488</v>
      </c>
      <c r="B92" s="20">
        <v>5.5E-2</v>
      </c>
      <c r="C92" s="21">
        <f>(A92*B92)/365*90</f>
        <v>2052900.4536986302</v>
      </c>
      <c r="D92" s="22">
        <f>C92+A144</f>
        <v>11513868.45369863</v>
      </c>
      <c r="F92" s="71">
        <f>$A$144</f>
        <v>9460968</v>
      </c>
    </row>
    <row r="93" spans="1:6" ht="15.75">
      <c r="A93" s="19" t="s">
        <v>52</v>
      </c>
      <c r="B93" s="20"/>
      <c r="C93" s="21"/>
      <c r="D93" s="22"/>
      <c r="F93" s="71"/>
    </row>
    <row r="94" spans="1:6" ht="15.75">
      <c r="A94" s="19">
        <f>A92-A144</f>
        <v>141914520</v>
      </c>
      <c r="B94" s="20">
        <v>5.5E-2</v>
      </c>
      <c r="C94" s="21">
        <f>(A94*B94)/365*90</f>
        <v>1924594.1753424658</v>
      </c>
      <c r="D94" s="22">
        <f>C94+A144</f>
        <v>11385562.175342467</v>
      </c>
      <c r="F94" s="71">
        <f>$A$144</f>
        <v>9460968</v>
      </c>
    </row>
    <row r="95" spans="1:6" ht="15.75">
      <c r="A95" s="19" t="s">
        <v>53</v>
      </c>
      <c r="B95" s="20"/>
      <c r="C95" s="21"/>
      <c r="D95" s="22"/>
      <c r="F95" s="71"/>
    </row>
    <row r="96" spans="1:6" ht="15.75">
      <c r="A96" s="19">
        <f>A94-A144</f>
        <v>132453552</v>
      </c>
      <c r="B96" s="20">
        <v>5.5E-2</v>
      </c>
      <c r="C96" s="21">
        <f>(A96*B96)/365*90</f>
        <v>1796287.8969863013</v>
      </c>
      <c r="D96" s="22">
        <f>C96+A144</f>
        <v>11257255.896986302</v>
      </c>
      <c r="F96" s="71">
        <f>$A$144</f>
        <v>9460968</v>
      </c>
    </row>
    <row r="97" spans="1:6" ht="15.75">
      <c r="A97" s="19" t="s">
        <v>54</v>
      </c>
      <c r="B97" s="20"/>
      <c r="C97" s="21"/>
      <c r="D97" s="22"/>
      <c r="F97" s="71"/>
    </row>
    <row r="98" spans="1:6" ht="16.5" thickBot="1">
      <c r="A98" s="19">
        <f>A96-A144</f>
        <v>122992584</v>
      </c>
      <c r="B98" s="20">
        <v>5.5E-2</v>
      </c>
      <c r="C98" s="23">
        <f>(A98*B98)/365*90</f>
        <v>1667981.6186301368</v>
      </c>
      <c r="D98" s="22">
        <f>C98+A144</f>
        <v>11128949.618630137</v>
      </c>
      <c r="F98" s="71">
        <f>$A$144</f>
        <v>9460968</v>
      </c>
    </row>
    <row r="99" spans="1:6" ht="15.75">
      <c r="A99" s="24"/>
      <c r="B99" s="25" t="s">
        <v>23</v>
      </c>
      <c r="C99" s="26">
        <f>SUM(C92:C98)</f>
        <v>7441764.1446575336</v>
      </c>
      <c r="D99" s="27"/>
      <c r="F99" s="72"/>
    </row>
    <row r="100" spans="1:6" ht="33.75" thickBot="1">
      <c r="A100" s="32"/>
      <c r="B100" s="33"/>
      <c r="C100" s="34" t="s">
        <v>55</v>
      </c>
      <c r="D100" s="35">
        <f>SUM(D92:D98)</f>
        <v>45285636.144657537</v>
      </c>
      <c r="F100" s="74">
        <f>SUM(F92:F98)</f>
        <v>37843872</v>
      </c>
    </row>
    <row r="101" spans="1:6" ht="17.25" thickBot="1">
      <c r="A101" s="50"/>
      <c r="B101" s="51"/>
      <c r="C101" s="52"/>
      <c r="D101" s="53"/>
      <c r="F101" s="46"/>
    </row>
    <row r="102" spans="1:6" ht="39" thickBot="1">
      <c r="A102" s="54" t="s">
        <v>15</v>
      </c>
      <c r="B102" s="55" t="s">
        <v>16</v>
      </c>
      <c r="C102" s="55" t="s">
        <v>17</v>
      </c>
      <c r="D102" s="56" t="s">
        <v>18</v>
      </c>
      <c r="F102" s="69" t="s">
        <v>81</v>
      </c>
    </row>
    <row r="103" spans="1:6" ht="15.75">
      <c r="A103" s="15" t="s">
        <v>56</v>
      </c>
      <c r="B103" s="16"/>
      <c r="C103" s="17"/>
      <c r="D103" s="18"/>
      <c r="F103" s="70"/>
    </row>
    <row r="104" spans="1:6" ht="15.75">
      <c r="A104" s="19">
        <f>A98-A144</f>
        <v>113531616</v>
      </c>
      <c r="B104" s="20">
        <v>5.2999999999999999E-2</v>
      </c>
      <c r="C104" s="21">
        <f>(A104*B104)/365*90</f>
        <v>1483687.146082192</v>
      </c>
      <c r="D104" s="22">
        <f>C104+A144</f>
        <v>10944655.146082193</v>
      </c>
      <c r="F104" s="71">
        <f>$A$144</f>
        <v>9460968</v>
      </c>
    </row>
    <row r="105" spans="1:6" ht="15.75">
      <c r="A105" s="19" t="s">
        <v>57</v>
      </c>
      <c r="B105" s="20"/>
      <c r="C105" s="21"/>
      <c r="D105" s="22"/>
      <c r="F105" s="71"/>
    </row>
    <row r="106" spans="1:6" ht="15.75">
      <c r="A106" s="19">
        <f>A104-A144</f>
        <v>104070648</v>
      </c>
      <c r="B106" s="20">
        <v>5.2999999999999999E-2</v>
      </c>
      <c r="C106" s="21">
        <f>(A106*B106)/365*90</f>
        <v>1360046.5505753425</v>
      </c>
      <c r="D106" s="22">
        <f>C106+A144</f>
        <v>10821014.550575342</v>
      </c>
      <c r="F106" s="71">
        <f>$A$144</f>
        <v>9460968</v>
      </c>
    </row>
    <row r="107" spans="1:6" ht="15.75">
      <c r="A107" s="19" t="s">
        <v>58</v>
      </c>
      <c r="B107" s="20"/>
      <c r="C107" s="21"/>
      <c r="D107" s="22"/>
      <c r="F107" s="71"/>
    </row>
    <row r="108" spans="1:6" ht="15.75">
      <c r="A108" s="19">
        <f>A106-A144</f>
        <v>94609680</v>
      </c>
      <c r="B108" s="20">
        <v>5.2999999999999999E-2</v>
      </c>
      <c r="C108" s="21">
        <f>(A108*B108)/365*90</f>
        <v>1236405.955068493</v>
      </c>
      <c r="D108" s="22">
        <f>C108+A144</f>
        <v>10697373.955068493</v>
      </c>
      <c r="F108" s="71">
        <f>$A$144</f>
        <v>9460968</v>
      </c>
    </row>
    <row r="109" spans="1:6" ht="15.75">
      <c r="A109" s="19" t="s">
        <v>59</v>
      </c>
      <c r="B109" s="20"/>
      <c r="C109" s="21"/>
      <c r="D109" s="22"/>
      <c r="F109" s="71"/>
    </row>
    <row r="110" spans="1:6" ht="16.5" thickBot="1">
      <c r="A110" s="19">
        <f>A108-A144</f>
        <v>85148712</v>
      </c>
      <c r="B110" s="20">
        <v>5.2999999999999999E-2</v>
      </c>
      <c r="C110" s="23">
        <f>(A110*B110)/365*90</f>
        <v>1112765.3595616436</v>
      </c>
      <c r="D110" s="22">
        <f>C110+A144</f>
        <v>10573733.359561644</v>
      </c>
      <c r="F110" s="71">
        <f>$A$144</f>
        <v>9460968</v>
      </c>
    </row>
    <row r="111" spans="1:6" ht="15.75">
      <c r="A111" s="24"/>
      <c r="B111" s="25" t="s">
        <v>23</v>
      </c>
      <c r="C111" s="26">
        <f>SUM(C104:C110)</f>
        <v>5192905.0112876715</v>
      </c>
      <c r="D111" s="27"/>
      <c r="F111" s="72"/>
    </row>
    <row r="112" spans="1:6" ht="33.75" thickBot="1">
      <c r="A112" s="32"/>
      <c r="B112" s="33"/>
      <c r="C112" s="34" t="s">
        <v>60</v>
      </c>
      <c r="D112" s="35">
        <f>SUM(D104:D110)</f>
        <v>43036777.011287674</v>
      </c>
      <c r="F112" s="74">
        <f>SUM(F104:F110)</f>
        <v>37843872</v>
      </c>
    </row>
    <row r="113" spans="1:6" ht="17.25" thickBot="1">
      <c r="A113" s="50"/>
      <c r="B113" s="51"/>
      <c r="C113" s="52"/>
      <c r="D113" s="53"/>
      <c r="F113" s="46"/>
    </row>
    <row r="114" spans="1:6" ht="39" thickBot="1">
      <c r="A114" s="54" t="s">
        <v>15</v>
      </c>
      <c r="B114" s="55" t="s">
        <v>16</v>
      </c>
      <c r="C114" s="55" t="s">
        <v>17</v>
      </c>
      <c r="D114" s="56" t="s">
        <v>18</v>
      </c>
      <c r="F114" s="69" t="s">
        <v>81</v>
      </c>
    </row>
    <row r="115" spans="1:6" ht="15.75">
      <c r="A115" s="15" t="s">
        <v>61</v>
      </c>
      <c r="B115" s="16"/>
      <c r="C115" s="17"/>
      <c r="D115" s="18"/>
      <c r="F115" s="70"/>
    </row>
    <row r="116" spans="1:6" ht="15.75">
      <c r="A116" s="19">
        <f>A110-A144</f>
        <v>75687744</v>
      </c>
      <c r="B116" s="20">
        <v>0.05</v>
      </c>
      <c r="C116" s="21">
        <f>(A116*B116)/365*90</f>
        <v>933136.56986301369</v>
      </c>
      <c r="D116" s="22">
        <f>C116+A144</f>
        <v>10394104.569863014</v>
      </c>
      <c r="F116" s="71">
        <f>$A$144</f>
        <v>9460968</v>
      </c>
    </row>
    <row r="117" spans="1:6" ht="15.75">
      <c r="A117" s="19" t="s">
        <v>62</v>
      </c>
      <c r="B117" s="20"/>
      <c r="C117" s="21"/>
      <c r="D117" s="22"/>
      <c r="F117" s="71"/>
    </row>
    <row r="118" spans="1:6" ht="15.75">
      <c r="A118" s="19">
        <f>A116-A144</f>
        <v>66226776</v>
      </c>
      <c r="B118" s="20">
        <v>0.05</v>
      </c>
      <c r="C118" s="21">
        <f>(A118*B118)/365*90</f>
        <v>816494.49863013695</v>
      </c>
      <c r="D118" s="22">
        <f>C118+A144</f>
        <v>10277462.498630136</v>
      </c>
      <c r="F118" s="71">
        <f>$A$144</f>
        <v>9460968</v>
      </c>
    </row>
    <row r="119" spans="1:6" ht="15.75">
      <c r="A119" s="19" t="s">
        <v>63</v>
      </c>
      <c r="B119" s="20"/>
      <c r="C119" s="21"/>
      <c r="D119" s="22"/>
      <c r="F119" s="71"/>
    </row>
    <row r="120" spans="1:6" ht="15.75">
      <c r="A120" s="19">
        <f>A118-A144</f>
        <v>56765808</v>
      </c>
      <c r="B120" s="20">
        <v>0.05</v>
      </c>
      <c r="C120" s="21">
        <f>(A120*B120)/365*90</f>
        <v>699852.42739726033</v>
      </c>
      <c r="D120" s="22">
        <f>C120+A144</f>
        <v>10160820.42739726</v>
      </c>
      <c r="F120" s="71">
        <f>$A$144</f>
        <v>9460968</v>
      </c>
    </row>
    <row r="121" spans="1:6" ht="15.75">
      <c r="A121" s="19" t="s">
        <v>64</v>
      </c>
      <c r="B121" s="20"/>
      <c r="C121" s="21"/>
      <c r="D121" s="22"/>
      <c r="F121" s="71"/>
    </row>
    <row r="122" spans="1:6" ht="16.5" thickBot="1">
      <c r="A122" s="19">
        <f>A120-A144</f>
        <v>47304840</v>
      </c>
      <c r="B122" s="20">
        <v>0.05</v>
      </c>
      <c r="C122" s="23">
        <f>(A122*B122)/365*90</f>
        <v>583210.35616438359</v>
      </c>
      <c r="D122" s="22">
        <f>C122+A144</f>
        <v>10044178.356164383</v>
      </c>
      <c r="F122" s="71">
        <f>$A$144</f>
        <v>9460968</v>
      </c>
    </row>
    <row r="123" spans="1:6" ht="15.75">
      <c r="A123" s="24"/>
      <c r="B123" s="25" t="s">
        <v>23</v>
      </c>
      <c r="C123" s="26">
        <f>SUM(C116:C122)</f>
        <v>3032693.8520547948</v>
      </c>
      <c r="D123" s="27"/>
      <c r="F123" s="72"/>
    </row>
    <row r="124" spans="1:6" ht="33.75" thickBot="1">
      <c r="A124" s="32"/>
      <c r="B124" s="33"/>
      <c r="C124" s="34" t="s">
        <v>65</v>
      </c>
      <c r="D124" s="35">
        <f>SUM(D116:D122)</f>
        <v>40876565.85205479</v>
      </c>
      <c r="F124" s="74">
        <f>SUM(F116:F122)</f>
        <v>37843872</v>
      </c>
    </row>
    <row r="125" spans="1:6" ht="17.25" thickBot="1">
      <c r="A125" s="50"/>
      <c r="B125" s="51"/>
      <c r="C125" s="52"/>
      <c r="D125" s="53"/>
      <c r="F125" s="46"/>
    </row>
    <row r="126" spans="1:6" ht="39" thickBot="1">
      <c r="A126" s="54" t="s">
        <v>15</v>
      </c>
      <c r="B126" s="55" t="s">
        <v>16</v>
      </c>
      <c r="C126" s="55" t="s">
        <v>17</v>
      </c>
      <c r="D126" s="56" t="s">
        <v>18</v>
      </c>
      <c r="F126" s="69" t="s">
        <v>81</v>
      </c>
    </row>
    <row r="127" spans="1:6" ht="15.75">
      <c r="A127" s="15" t="s">
        <v>66</v>
      </c>
      <c r="B127" s="16"/>
      <c r="C127" s="17"/>
      <c r="D127" s="18"/>
      <c r="F127" s="70"/>
    </row>
    <row r="128" spans="1:6" ht="15.75">
      <c r="A128" s="19">
        <f>A122-A144</f>
        <v>37843872</v>
      </c>
      <c r="B128" s="20">
        <v>0.05</v>
      </c>
      <c r="C128" s="21">
        <f>(A128*B128)/365*90</f>
        <v>466568.28493150685</v>
      </c>
      <c r="D128" s="22">
        <f>C128+A144</f>
        <v>9927536.284931507</v>
      </c>
      <c r="F128" s="71">
        <f>$A$144</f>
        <v>9460968</v>
      </c>
    </row>
    <row r="129" spans="1:6" ht="15.75">
      <c r="A129" s="19" t="s">
        <v>67</v>
      </c>
      <c r="B129" s="20"/>
      <c r="C129" s="21"/>
      <c r="D129" s="22"/>
      <c r="F129" s="71"/>
    </row>
    <row r="130" spans="1:6" ht="15.75">
      <c r="A130" s="19">
        <f>A128-A144</f>
        <v>28382904</v>
      </c>
      <c r="B130" s="20">
        <v>0.05</v>
      </c>
      <c r="C130" s="21">
        <f>(A130*B130)/365*90</f>
        <v>349926.21369863016</v>
      </c>
      <c r="D130" s="22">
        <f>C130+A144</f>
        <v>9810894.2136986293</v>
      </c>
      <c r="F130" s="71">
        <f>$A$144</f>
        <v>9460968</v>
      </c>
    </row>
    <row r="131" spans="1:6" ht="15.75">
      <c r="A131" s="19" t="s">
        <v>68</v>
      </c>
      <c r="B131" s="20"/>
      <c r="C131" s="21"/>
      <c r="D131" s="22"/>
      <c r="F131" s="71"/>
    </row>
    <row r="132" spans="1:6" ht="15.75">
      <c r="A132" s="19">
        <f>A130-A144</f>
        <v>18921936</v>
      </c>
      <c r="B132" s="20">
        <v>0.05</v>
      </c>
      <c r="C132" s="21">
        <f>(A132*B132)/365*90</f>
        <v>233284.14246575342</v>
      </c>
      <c r="D132" s="22">
        <f>C132+A144</f>
        <v>9694252.1424657535</v>
      </c>
      <c r="F132" s="71">
        <f>$A$144</f>
        <v>9460968</v>
      </c>
    </row>
    <row r="133" spans="1:6" ht="15.75">
      <c r="A133" s="19" t="s">
        <v>69</v>
      </c>
      <c r="B133" s="20"/>
      <c r="C133" s="21"/>
      <c r="D133" s="22"/>
      <c r="F133" s="71"/>
    </row>
    <row r="134" spans="1:6" ht="16.5" thickBot="1">
      <c r="A134" s="19">
        <f>A132-A144</f>
        <v>9460968</v>
      </c>
      <c r="B134" s="20">
        <v>0.05</v>
      </c>
      <c r="C134" s="23">
        <f>(A134*B134)/365*90</f>
        <v>116642.07123287671</v>
      </c>
      <c r="D134" s="22">
        <f>C134+A144</f>
        <v>9577610.0712328758</v>
      </c>
      <c r="F134" s="71">
        <f>$A$144</f>
        <v>9460968</v>
      </c>
    </row>
    <row r="135" spans="1:6" ht="15.75">
      <c r="A135" s="24"/>
      <c r="B135" s="25" t="s">
        <v>23</v>
      </c>
      <c r="C135" s="26">
        <f>SUM(C128:C134)</f>
        <v>1166420.7123287672</v>
      </c>
      <c r="D135" s="27"/>
      <c r="F135" s="72"/>
    </row>
    <row r="136" spans="1:6" ht="33.75" thickBot="1">
      <c r="A136" s="32"/>
      <c r="B136" s="33"/>
      <c r="C136" s="34" t="s">
        <v>70</v>
      </c>
      <c r="D136" s="35">
        <f>SUM(D128:D134)</f>
        <v>39010292.712328769</v>
      </c>
      <c r="F136" s="74">
        <f>SUM(F128:F134)</f>
        <v>37843872</v>
      </c>
    </row>
    <row r="137" spans="1:6" ht="16.5">
      <c r="A137" s="50"/>
      <c r="B137" s="51"/>
      <c r="C137" s="52"/>
      <c r="D137" s="53"/>
    </row>
    <row r="138" spans="1:6" ht="18">
      <c r="A138" s="404" t="s">
        <v>71</v>
      </c>
      <c r="B138" s="404"/>
      <c r="C138" s="404"/>
      <c r="D138" s="57">
        <f>SUM(D140:D142)</f>
        <v>374451123.18575341</v>
      </c>
      <c r="F138" s="78">
        <f>SUM(F16,F40,F52,F64,F76,F88,F100,F112,F124,F136)</f>
        <v>302751000</v>
      </c>
    </row>
    <row r="139" spans="1:6" ht="16.5">
      <c r="A139" s="405" t="s">
        <v>72</v>
      </c>
      <c r="B139" s="405"/>
      <c r="C139" s="405"/>
      <c r="D139" s="58"/>
    </row>
    <row r="140" spans="1:6">
      <c r="A140" s="401" t="s">
        <v>73</v>
      </c>
      <c r="B140" s="401"/>
      <c r="C140" s="401"/>
      <c r="D140" s="59">
        <f>A144*32+6</f>
        <v>302750982</v>
      </c>
    </row>
    <row r="141" spans="1:6">
      <c r="A141" s="401" t="s">
        <v>74</v>
      </c>
      <c r="B141" s="401"/>
      <c r="C141" s="401"/>
      <c r="D141" s="59">
        <f>SUM(C14,C27,C39,C51,C63,C75,C87,C99,C111,C123,C135)</f>
        <v>70489137.18575342</v>
      </c>
    </row>
    <row r="142" spans="1:6">
      <c r="A142" s="401" t="s">
        <v>75</v>
      </c>
      <c r="B142" s="401"/>
      <c r="C142" s="401"/>
      <c r="D142" s="59">
        <f>C15</f>
        <v>1211004</v>
      </c>
    </row>
    <row r="143" spans="1:6">
      <c r="A143" s="60" t="s">
        <v>76</v>
      </c>
      <c r="B143" s="61"/>
    </row>
    <row r="144" spans="1:6" ht="15.75">
      <c r="A144" s="62">
        <f>9460968</f>
        <v>9460968</v>
      </c>
      <c r="B144" s="138" t="s">
        <v>149</v>
      </c>
    </row>
    <row r="145" spans="1:4">
      <c r="A145" s="105">
        <f>A144+(0.75*32)</f>
        <v>9460992</v>
      </c>
      <c r="B145" s="67" t="s">
        <v>150</v>
      </c>
      <c r="D145" s="63">
        <f>SUM(D141:D142)</f>
        <v>71700141.18575342</v>
      </c>
    </row>
    <row r="147" spans="1:4" ht="15.75">
      <c r="A147" t="s">
        <v>77</v>
      </c>
      <c r="B147" s="64">
        <v>3.8600000000000002E-2</v>
      </c>
    </row>
    <row r="148" spans="1:4">
      <c r="A148" s="61" t="s">
        <v>78</v>
      </c>
      <c r="B148" s="65">
        <v>1.6578999999999999</v>
      </c>
    </row>
    <row r="149" spans="1:4">
      <c r="A149" s="61" t="s">
        <v>79</v>
      </c>
    </row>
    <row r="150" spans="1:4">
      <c r="B150" s="136">
        <f>3.86*165.79%</f>
        <v>6.3994939999999998</v>
      </c>
    </row>
    <row r="152" spans="1:4">
      <c r="B152">
        <v>18500000</v>
      </c>
    </row>
  </sheetData>
  <mergeCells count="7">
    <mergeCell ref="A142:C142"/>
    <mergeCell ref="A2:F2"/>
    <mergeCell ref="A3:D3"/>
    <mergeCell ref="A138:C138"/>
    <mergeCell ref="A139:C139"/>
    <mergeCell ref="A140:C140"/>
    <mergeCell ref="A141:C141"/>
  </mergeCells>
  <pageMargins left="0.22" right="0.22" top="0.28000000000000003" bottom="0.41" header="0.2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F114"/>
  <sheetViews>
    <sheetView topLeftCell="A84" zoomScaleNormal="100" workbookViewId="0">
      <selection activeCell="F117" sqref="F117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6" ht="39" customHeight="1">
      <c r="A2" s="402" t="s">
        <v>161</v>
      </c>
      <c r="B2" s="402"/>
      <c r="C2" s="402"/>
      <c r="D2" s="402"/>
      <c r="E2" s="402"/>
      <c r="F2" s="402"/>
    </row>
    <row r="3" spans="1:6">
      <c r="A3" s="403"/>
      <c r="B3" s="403"/>
      <c r="C3" s="403"/>
      <c r="D3" s="403"/>
      <c r="F3" s="67" t="s">
        <v>80</v>
      </c>
    </row>
    <row r="4" spans="1:6" ht="15" thickBot="1">
      <c r="D4" s="11" t="s">
        <v>14</v>
      </c>
    </row>
    <row r="5" spans="1:6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6" ht="11.25" customHeight="1">
      <c r="A6" s="15" t="s">
        <v>31</v>
      </c>
      <c r="B6" s="16"/>
      <c r="C6" s="17"/>
      <c r="D6" s="18"/>
      <c r="F6" s="70"/>
    </row>
    <row r="7" spans="1:6" ht="15.75">
      <c r="A7" s="19"/>
      <c r="B7" s="20">
        <v>0</v>
      </c>
      <c r="C7" s="21">
        <f>(A7*B7)/365*90</f>
        <v>0</v>
      </c>
      <c r="D7" s="22">
        <v>0</v>
      </c>
      <c r="F7" s="71"/>
    </row>
    <row r="8" spans="1:6" ht="15.75">
      <c r="A8" s="19" t="s">
        <v>32</v>
      </c>
      <c r="B8" s="20"/>
      <c r="C8" s="21"/>
      <c r="D8" s="22"/>
      <c r="F8" s="71"/>
    </row>
    <row r="9" spans="1:6" ht="15.75">
      <c r="A9" s="19"/>
      <c r="B9" s="20">
        <v>0</v>
      </c>
      <c r="C9" s="21">
        <f>(A9*B9)/365*90</f>
        <v>0</v>
      </c>
      <c r="D9" s="22">
        <v>0</v>
      </c>
      <c r="F9" s="71"/>
    </row>
    <row r="10" spans="1:6" ht="15.75">
      <c r="A10" s="19" t="s">
        <v>33</v>
      </c>
      <c r="B10" s="20"/>
      <c r="C10" s="21"/>
      <c r="D10" s="22"/>
      <c r="F10" s="71"/>
    </row>
    <row r="11" spans="1:6" ht="15.75">
      <c r="A11" s="19"/>
      <c r="B11" s="20">
        <v>0</v>
      </c>
      <c r="C11" s="21">
        <f>(A11*B11)/365*90</f>
        <v>0</v>
      </c>
      <c r="D11" s="22">
        <v>0</v>
      </c>
      <c r="F11" s="71"/>
    </row>
    <row r="12" spans="1:6" ht="15.75">
      <c r="A12" s="19" t="s">
        <v>34</v>
      </c>
      <c r="B12" s="20"/>
      <c r="C12" s="21"/>
      <c r="D12" s="22"/>
      <c r="F12" s="71"/>
    </row>
    <row r="13" spans="1:6" ht="16.5" thickBot="1">
      <c r="A13" s="19">
        <f>'Zestawienie kredytów'!F50</f>
        <v>93052137</v>
      </c>
      <c r="B13" s="20">
        <v>0</v>
      </c>
      <c r="C13" s="23">
        <f>(A13*B13)/365*90</f>
        <v>0</v>
      </c>
      <c r="D13" s="22">
        <f>C13</f>
        <v>0</v>
      </c>
      <c r="F13" s="71"/>
    </row>
    <row r="14" spans="1:6" ht="15.75">
      <c r="A14" s="24"/>
      <c r="B14" s="29" t="s">
        <v>183</v>
      </c>
      <c r="C14" s="26">
        <f>0.4%*A13</f>
        <v>372208.54800000001</v>
      </c>
      <c r="D14" s="27"/>
      <c r="F14" s="72"/>
    </row>
    <row r="15" spans="1:6" ht="33.75" thickBot="1">
      <c r="A15" s="32"/>
      <c r="B15" s="33"/>
      <c r="C15" s="34" t="s">
        <v>35</v>
      </c>
      <c r="D15" s="35">
        <f>SUM(D7:D13)</f>
        <v>0</v>
      </c>
      <c r="F15" s="74">
        <f>SUM(F7:F13)</f>
        <v>0</v>
      </c>
    </row>
    <row r="16" spans="1:6" ht="15" thickBot="1">
      <c r="A16" s="36"/>
      <c r="B16" s="37"/>
      <c r="C16" s="38"/>
      <c r="D16" s="36"/>
      <c r="F16" s="77"/>
    </row>
    <row r="17" spans="1:6" ht="39" thickBot="1">
      <c r="A17" s="12" t="s">
        <v>15</v>
      </c>
      <c r="B17" s="13" t="s">
        <v>16</v>
      </c>
      <c r="C17" s="13" t="s">
        <v>17</v>
      </c>
      <c r="D17" s="14" t="s">
        <v>18</v>
      </c>
      <c r="F17" s="69" t="s">
        <v>81</v>
      </c>
    </row>
    <row r="18" spans="1:6" ht="15.75">
      <c r="A18" s="15" t="s">
        <v>36</v>
      </c>
      <c r="B18" s="16"/>
      <c r="C18" s="17"/>
      <c r="D18" s="18"/>
      <c r="F18" s="70"/>
    </row>
    <row r="19" spans="1:6" ht="15.75">
      <c r="A19" s="19">
        <f>A13</f>
        <v>93052137</v>
      </c>
      <c r="B19" s="20">
        <v>5.8999999999999997E-2</v>
      </c>
      <c r="C19" s="21">
        <f>(A19*B19)/365*180</f>
        <v>2707434.780657534</v>
      </c>
      <c r="D19" s="22">
        <f>C19+A108</f>
        <v>6030724.7806575336</v>
      </c>
      <c r="F19" s="71">
        <f>$A$108</f>
        <v>3323290</v>
      </c>
    </row>
    <row r="20" spans="1:6" ht="15.75">
      <c r="A20" s="19" t="s">
        <v>37</v>
      </c>
      <c r="B20" s="20"/>
      <c r="C20" s="21"/>
      <c r="D20" s="22"/>
      <c r="F20" s="71"/>
    </row>
    <row r="21" spans="1:6" ht="15.75">
      <c r="A21" s="19">
        <f>A19-A108</f>
        <v>89728847</v>
      </c>
      <c r="B21" s="20">
        <v>5.8999999999999997E-2</v>
      </c>
      <c r="C21" s="21">
        <f>(A21*B21)/365*90</f>
        <v>1305370.349506849</v>
      </c>
      <c r="D21" s="22">
        <f>C21+A108</f>
        <v>4628660.3495068494</v>
      </c>
      <c r="F21" s="71">
        <f>$A$108</f>
        <v>3323290</v>
      </c>
    </row>
    <row r="22" spans="1:6" ht="15.75">
      <c r="A22" s="19" t="s">
        <v>38</v>
      </c>
      <c r="B22" s="20"/>
      <c r="C22" s="21"/>
      <c r="D22" s="22"/>
      <c r="F22" s="71"/>
    </row>
    <row r="23" spans="1:6" ht="15.75">
      <c r="A23" s="19">
        <f>A21-A108</f>
        <v>86405557</v>
      </c>
      <c r="B23" s="20">
        <v>5.8999999999999997E-2</v>
      </c>
      <c r="C23" s="21">
        <f>(A23*B23)/365*90</f>
        <v>1257023.3086849316</v>
      </c>
      <c r="D23" s="22">
        <f>C23+A108</f>
        <v>4580313.3086849321</v>
      </c>
      <c r="F23" s="71">
        <f>$A$108</f>
        <v>3323290</v>
      </c>
    </row>
    <row r="24" spans="1:6" ht="15.75">
      <c r="A24" s="19" t="s">
        <v>39</v>
      </c>
      <c r="B24" s="20"/>
      <c r="C24" s="21"/>
      <c r="D24" s="22"/>
      <c r="F24" s="71"/>
    </row>
    <row r="25" spans="1:6" ht="16.5" thickBot="1">
      <c r="A25" s="19">
        <f>A23-A108</f>
        <v>83082267</v>
      </c>
      <c r="B25" s="20">
        <v>5.8999999999999997E-2</v>
      </c>
      <c r="C25" s="23">
        <f>(A25*B25)/365*90</f>
        <v>1208676.2678630135</v>
      </c>
      <c r="D25" s="22">
        <f>C25+A108</f>
        <v>4531966.2678630138</v>
      </c>
      <c r="F25" s="71">
        <f>$A$108</f>
        <v>3323290</v>
      </c>
    </row>
    <row r="26" spans="1:6" ht="15.75">
      <c r="A26" s="24"/>
      <c r="B26" s="25" t="s">
        <v>23</v>
      </c>
      <c r="C26" s="26">
        <f>SUM(C19:C25)</f>
        <v>6478504.7067123288</v>
      </c>
      <c r="D26" s="27"/>
      <c r="F26" s="72"/>
    </row>
    <row r="27" spans="1:6" ht="33.75" thickBot="1">
      <c r="A27" s="39"/>
      <c r="B27" s="40"/>
      <c r="C27" s="41" t="s">
        <v>40</v>
      </c>
      <c r="D27" s="42">
        <f>SUM(D19:D25)</f>
        <v>19771664.706712328</v>
      </c>
      <c r="F27" s="76">
        <f>SUM(F19:F25)</f>
        <v>13293160</v>
      </c>
    </row>
    <row r="28" spans="1:6" ht="17.25" thickBot="1">
      <c r="A28" s="43"/>
      <c r="B28" s="44"/>
      <c r="C28" s="45"/>
      <c r="D28" s="46"/>
      <c r="F28" s="46"/>
    </row>
    <row r="29" spans="1:6" ht="39" thickBot="1">
      <c r="A29" s="47" t="s">
        <v>15</v>
      </c>
      <c r="B29" s="48" t="s">
        <v>16</v>
      </c>
      <c r="C29" s="48" t="s">
        <v>17</v>
      </c>
      <c r="D29" s="49" t="s">
        <v>18</v>
      </c>
      <c r="F29" s="69" t="s">
        <v>81</v>
      </c>
    </row>
    <row r="30" spans="1:6" ht="15.75">
      <c r="A30" s="15" t="s">
        <v>41</v>
      </c>
      <c r="B30" s="16"/>
      <c r="C30" s="17"/>
      <c r="D30" s="18"/>
      <c r="F30" s="70"/>
    </row>
    <row r="31" spans="1:6" ht="15.75">
      <c r="A31" s="19">
        <f>A25-A108</f>
        <v>79758977</v>
      </c>
      <c r="B31" s="20">
        <v>5.5E-2</v>
      </c>
      <c r="C31" s="21">
        <f>(A31*B31)/365*90</f>
        <v>1081662.8387671234</v>
      </c>
      <c r="D31" s="22">
        <f>C31+A108</f>
        <v>4404952.8387671234</v>
      </c>
      <c r="F31" s="71">
        <f>$A$108</f>
        <v>3323290</v>
      </c>
    </row>
    <row r="32" spans="1:6" ht="15.75">
      <c r="A32" s="19" t="s">
        <v>42</v>
      </c>
      <c r="B32" s="20"/>
      <c r="C32" s="21"/>
      <c r="D32" s="22"/>
      <c r="F32" s="71"/>
    </row>
    <row r="33" spans="1:6" ht="15.75">
      <c r="A33" s="19">
        <f>A31-A108</f>
        <v>76435687</v>
      </c>
      <c r="B33" s="20">
        <v>5.5E-2</v>
      </c>
      <c r="C33" s="21">
        <f>(A33*B33)/365*90</f>
        <v>1036593.5634246576</v>
      </c>
      <c r="D33" s="22">
        <f>C33+A108</f>
        <v>4359883.563424658</v>
      </c>
      <c r="F33" s="71">
        <f>$A$108</f>
        <v>3323290</v>
      </c>
    </row>
    <row r="34" spans="1:6" ht="15.75">
      <c r="A34" s="19" t="s">
        <v>43</v>
      </c>
      <c r="B34" s="20"/>
      <c r="C34" s="21"/>
      <c r="D34" s="22"/>
      <c r="F34" s="71"/>
    </row>
    <row r="35" spans="1:6" ht="15.75">
      <c r="A35" s="19">
        <f>A33-A108</f>
        <v>73112397</v>
      </c>
      <c r="B35" s="20">
        <v>5.5E-2</v>
      </c>
      <c r="C35" s="21">
        <f>(A35*B35)/365*90</f>
        <v>991524.28808219172</v>
      </c>
      <c r="D35" s="22">
        <f>C35+A108</f>
        <v>4314814.2880821917</v>
      </c>
      <c r="F35" s="71">
        <f>$A$108</f>
        <v>3323290</v>
      </c>
    </row>
    <row r="36" spans="1:6" ht="15.75">
      <c r="A36" s="19" t="s">
        <v>44</v>
      </c>
      <c r="B36" s="20"/>
      <c r="C36" s="21"/>
      <c r="D36" s="22"/>
      <c r="F36" s="71"/>
    </row>
    <row r="37" spans="1:6" ht="16.5" thickBot="1">
      <c r="A37" s="19">
        <f>A35-A108</f>
        <v>69789107</v>
      </c>
      <c r="B37" s="20">
        <v>5.5E-2</v>
      </c>
      <c r="C37" s="23">
        <f>(A37*B37)/365*90</f>
        <v>946455.01273972611</v>
      </c>
      <c r="D37" s="22">
        <f>C37+A108</f>
        <v>4269745.0127397263</v>
      </c>
      <c r="F37" s="71">
        <f>$A$108</f>
        <v>3323290</v>
      </c>
    </row>
    <row r="38" spans="1:6" ht="15.75">
      <c r="A38" s="24"/>
      <c r="B38" s="25" t="s">
        <v>23</v>
      </c>
      <c r="C38" s="26">
        <f>SUM(C31:C37)</f>
        <v>4056235.7030136986</v>
      </c>
      <c r="D38" s="27"/>
      <c r="F38" s="72"/>
    </row>
    <row r="39" spans="1:6" ht="33.75" thickBot="1">
      <c r="A39" s="32"/>
      <c r="B39" s="33"/>
      <c r="C39" s="34" t="s">
        <v>45</v>
      </c>
      <c r="D39" s="35">
        <f>SUM(D31:D37)</f>
        <v>17349395.7030137</v>
      </c>
      <c r="F39" s="74">
        <f>SUM(F31:F37)</f>
        <v>13293160</v>
      </c>
    </row>
    <row r="40" spans="1:6" ht="17.25" thickBot="1">
      <c r="A40" s="50"/>
      <c r="B40" s="51"/>
      <c r="C40" s="52"/>
      <c r="D40" s="53"/>
      <c r="F40" s="46"/>
    </row>
    <row r="41" spans="1:6" ht="39" thickBot="1">
      <c r="A41" s="54" t="s">
        <v>15</v>
      </c>
      <c r="B41" s="55" t="s">
        <v>16</v>
      </c>
      <c r="C41" s="55" t="s">
        <v>17</v>
      </c>
      <c r="D41" s="56" t="s">
        <v>18</v>
      </c>
      <c r="F41" s="69" t="s">
        <v>81</v>
      </c>
    </row>
    <row r="42" spans="1:6" ht="15.75">
      <c r="A42" s="15" t="s">
        <v>46</v>
      </c>
      <c r="B42" s="16"/>
      <c r="C42" s="17"/>
      <c r="D42" s="18"/>
      <c r="F42" s="70"/>
    </row>
    <row r="43" spans="1:6" ht="15.75">
      <c r="A43" s="19">
        <f>A37-A108</f>
        <v>66465817</v>
      </c>
      <c r="B43" s="20">
        <v>5.5E-2</v>
      </c>
      <c r="C43" s="21">
        <f>(A43*B43)/365*90</f>
        <v>901385.73739726027</v>
      </c>
      <c r="D43" s="22">
        <f>C43+A108</f>
        <v>4224675.73739726</v>
      </c>
      <c r="F43" s="71">
        <f>$A$108</f>
        <v>3323290</v>
      </c>
    </row>
    <row r="44" spans="1:6" ht="15.75">
      <c r="A44" s="19" t="s">
        <v>47</v>
      </c>
      <c r="B44" s="20"/>
      <c r="C44" s="21"/>
      <c r="D44" s="22"/>
      <c r="F44" s="71"/>
    </row>
    <row r="45" spans="1:6" ht="15.75">
      <c r="A45" s="19">
        <f>A43-A108</f>
        <v>63142527</v>
      </c>
      <c r="B45" s="20">
        <v>5.5E-2</v>
      </c>
      <c r="C45" s="21">
        <f>(A45*B45)/365*90</f>
        <v>856316.46205479442</v>
      </c>
      <c r="D45" s="22">
        <f>C45+A108</f>
        <v>4179606.4620547947</v>
      </c>
      <c r="F45" s="71">
        <f>$A$108</f>
        <v>3323290</v>
      </c>
    </row>
    <row r="46" spans="1:6" ht="15.75">
      <c r="A46" s="19" t="s">
        <v>48</v>
      </c>
      <c r="B46" s="20"/>
      <c r="C46" s="21"/>
      <c r="D46" s="22"/>
      <c r="F46" s="71"/>
    </row>
    <row r="47" spans="1:6" ht="15.75">
      <c r="A47" s="19">
        <f>A45-A108</f>
        <v>59819237</v>
      </c>
      <c r="B47" s="20">
        <v>5.5E-2</v>
      </c>
      <c r="C47" s="21">
        <f>(A47*B47)/365*90</f>
        <v>811247.18671232881</v>
      </c>
      <c r="D47" s="22">
        <f>C47+A108</f>
        <v>4134537.1867123288</v>
      </c>
      <c r="F47" s="71">
        <f>$A$108</f>
        <v>3323290</v>
      </c>
    </row>
    <row r="48" spans="1:6" ht="15.75">
      <c r="A48" s="19" t="s">
        <v>49</v>
      </c>
      <c r="B48" s="20"/>
      <c r="C48" s="21"/>
      <c r="D48" s="22"/>
      <c r="F48" s="71"/>
    </row>
    <row r="49" spans="1:6" ht="16.5" thickBot="1">
      <c r="A49" s="19">
        <f>A47-A108</f>
        <v>56495947</v>
      </c>
      <c r="B49" s="20">
        <v>5.5E-2</v>
      </c>
      <c r="C49" s="23">
        <f>(A49*B49)/365*90</f>
        <v>766177.91136986297</v>
      </c>
      <c r="D49" s="22">
        <f>C49+A108</f>
        <v>4089467.911369863</v>
      </c>
      <c r="F49" s="71">
        <f>$A$108</f>
        <v>3323290</v>
      </c>
    </row>
    <row r="50" spans="1:6" ht="15.75">
      <c r="A50" s="24"/>
      <c r="B50" s="25" t="s">
        <v>23</v>
      </c>
      <c r="C50" s="26">
        <f>SUM(C43:C49)</f>
        <v>3335127.2975342465</v>
      </c>
      <c r="D50" s="27"/>
      <c r="F50" s="72"/>
    </row>
    <row r="51" spans="1:6" ht="33.75" thickBot="1">
      <c r="A51" s="32"/>
      <c r="B51" s="33"/>
      <c r="C51" s="34" t="s">
        <v>50</v>
      </c>
      <c r="D51" s="35">
        <f>SUM(D43:D49)</f>
        <v>16628287.297534246</v>
      </c>
      <c r="F51" s="74">
        <f>SUM(F43:F49)</f>
        <v>13293160</v>
      </c>
    </row>
    <row r="52" spans="1:6" ht="17.25" thickBot="1">
      <c r="A52" s="50"/>
      <c r="B52" s="51"/>
      <c r="C52" s="52"/>
      <c r="D52" s="53"/>
      <c r="F52" s="46"/>
    </row>
    <row r="53" spans="1:6" ht="39" thickBot="1">
      <c r="A53" s="54" t="s">
        <v>15</v>
      </c>
      <c r="B53" s="55" t="s">
        <v>16</v>
      </c>
      <c r="C53" s="55" t="s">
        <v>17</v>
      </c>
      <c r="D53" s="56" t="s">
        <v>18</v>
      </c>
      <c r="F53" s="69" t="s">
        <v>81</v>
      </c>
    </row>
    <row r="54" spans="1:6" ht="15.75">
      <c r="A54" s="15" t="s">
        <v>51</v>
      </c>
      <c r="B54" s="16"/>
      <c r="C54" s="17"/>
      <c r="D54" s="18"/>
      <c r="F54" s="70"/>
    </row>
    <row r="55" spans="1:6" ht="15.75">
      <c r="A55" s="19">
        <f>A49-A108</f>
        <v>53172657</v>
      </c>
      <c r="B55" s="20">
        <v>5.2999999999999999E-2</v>
      </c>
      <c r="C55" s="21">
        <f>(A55*B55)/365*90</f>
        <v>694886.50380821922</v>
      </c>
      <c r="D55" s="22">
        <f>C55+A108</f>
        <v>4018176.503808219</v>
      </c>
      <c r="F55" s="71">
        <f>$A$108</f>
        <v>3323290</v>
      </c>
    </row>
    <row r="56" spans="1:6" ht="15.75">
      <c r="A56" s="19" t="s">
        <v>52</v>
      </c>
      <c r="B56" s="20"/>
      <c r="C56" s="21"/>
      <c r="D56" s="22"/>
      <c r="F56" s="71"/>
    </row>
    <row r="57" spans="1:6" ht="15.75">
      <c r="A57" s="19">
        <f>A55-A108</f>
        <v>49849367</v>
      </c>
      <c r="B57" s="20">
        <v>5.2999999999999999E-2</v>
      </c>
      <c r="C57" s="21">
        <f>(A57*B57)/365*90</f>
        <v>651456.11120547936</v>
      </c>
      <c r="D57" s="22">
        <f>C57+A108</f>
        <v>3974746.1112054791</v>
      </c>
      <c r="F57" s="71">
        <f>$A$108</f>
        <v>3323290</v>
      </c>
    </row>
    <row r="58" spans="1:6" ht="15.75">
      <c r="A58" s="19" t="s">
        <v>53</v>
      </c>
      <c r="B58" s="20"/>
      <c r="C58" s="21"/>
      <c r="D58" s="22"/>
      <c r="F58" s="71"/>
    </row>
    <row r="59" spans="1:6" ht="15.75">
      <c r="A59" s="19">
        <f>A57-A108</f>
        <v>46526077</v>
      </c>
      <c r="B59" s="20">
        <v>5.2999999999999999E-2</v>
      </c>
      <c r="C59" s="21">
        <f>(A59*B59)/365*90</f>
        <v>608025.71860273962</v>
      </c>
      <c r="D59" s="22">
        <f>C59+A108</f>
        <v>3931315.7186027397</v>
      </c>
      <c r="F59" s="71">
        <f>$A$108</f>
        <v>3323290</v>
      </c>
    </row>
    <row r="60" spans="1:6" ht="15.75">
      <c r="A60" s="19" t="s">
        <v>54</v>
      </c>
      <c r="B60" s="20"/>
      <c r="C60" s="21"/>
      <c r="D60" s="22"/>
      <c r="F60" s="71"/>
    </row>
    <row r="61" spans="1:6" ht="16.5" thickBot="1">
      <c r="A61" s="19">
        <f>A59-A108</f>
        <v>43202787</v>
      </c>
      <c r="B61" s="20">
        <v>5.2999999999999999E-2</v>
      </c>
      <c r="C61" s="23">
        <f>(A61*B61)/365*90</f>
        <v>564595.32600000012</v>
      </c>
      <c r="D61" s="22">
        <f>C61+A108</f>
        <v>3887885.3260000004</v>
      </c>
      <c r="F61" s="71">
        <f>$A$108</f>
        <v>3323290</v>
      </c>
    </row>
    <row r="62" spans="1:6" ht="15.75">
      <c r="A62" s="24"/>
      <c r="B62" s="25" t="s">
        <v>23</v>
      </c>
      <c r="C62" s="26">
        <f>SUM(C55:C61)</f>
        <v>2518963.6596164387</v>
      </c>
      <c r="D62" s="27"/>
      <c r="F62" s="72"/>
    </row>
    <row r="63" spans="1:6" ht="33.75" thickBot="1">
      <c r="A63" s="32"/>
      <c r="B63" s="33"/>
      <c r="C63" s="34" t="s">
        <v>55</v>
      </c>
      <c r="D63" s="35">
        <f>SUM(D55:D61)</f>
        <v>15812123.659616437</v>
      </c>
      <c r="F63" s="74">
        <f>SUM(F55:F61)</f>
        <v>13293160</v>
      </c>
    </row>
    <row r="64" spans="1:6" ht="17.25" thickBot="1">
      <c r="A64" s="50"/>
      <c r="B64" s="51"/>
      <c r="C64" s="52"/>
      <c r="D64" s="53"/>
      <c r="F64" s="46"/>
    </row>
    <row r="65" spans="1:6" ht="39" thickBot="1">
      <c r="A65" s="54" t="s">
        <v>15</v>
      </c>
      <c r="B65" s="55" t="s">
        <v>16</v>
      </c>
      <c r="C65" s="55" t="s">
        <v>17</v>
      </c>
      <c r="D65" s="56" t="s">
        <v>18</v>
      </c>
      <c r="F65" s="69" t="s">
        <v>81</v>
      </c>
    </row>
    <row r="66" spans="1:6" ht="15.75">
      <c r="A66" s="15" t="s">
        <v>56</v>
      </c>
      <c r="B66" s="16"/>
      <c r="C66" s="17"/>
      <c r="D66" s="18"/>
      <c r="F66" s="70"/>
    </row>
    <row r="67" spans="1:6" ht="15.75">
      <c r="A67" s="19">
        <f>A61-A108</f>
        <v>39879497</v>
      </c>
      <c r="B67" s="20">
        <v>5.5E-2</v>
      </c>
      <c r="C67" s="21">
        <f>(A67*B67)/365*90</f>
        <v>540831.53465753421</v>
      </c>
      <c r="D67" s="22">
        <f>C67+A108</f>
        <v>3864121.5346575342</v>
      </c>
      <c r="F67" s="71">
        <f>$A$108</f>
        <v>3323290</v>
      </c>
    </row>
    <row r="68" spans="1:6" ht="15.75">
      <c r="A68" s="19" t="s">
        <v>57</v>
      </c>
      <c r="B68" s="20"/>
      <c r="C68" s="21"/>
      <c r="D68" s="22"/>
      <c r="F68" s="71"/>
    </row>
    <row r="69" spans="1:6" ht="15.75">
      <c r="A69" s="19">
        <f>A67-A108</f>
        <v>36556207</v>
      </c>
      <c r="B69" s="20">
        <v>5.5E-2</v>
      </c>
      <c r="C69" s="21">
        <f>(A69*B69)/365*90</f>
        <v>495762.25931506848</v>
      </c>
      <c r="D69" s="22">
        <f>C69+A108</f>
        <v>3819052.2593150684</v>
      </c>
      <c r="F69" s="71">
        <f>$A$108</f>
        <v>3323290</v>
      </c>
    </row>
    <row r="70" spans="1:6" ht="15.75">
      <c r="A70" s="19" t="s">
        <v>58</v>
      </c>
      <c r="B70" s="20"/>
      <c r="C70" s="21"/>
      <c r="D70" s="22"/>
      <c r="F70" s="71"/>
    </row>
    <row r="71" spans="1:6" ht="15.75">
      <c r="A71" s="19">
        <f>A69-A108</f>
        <v>33232917</v>
      </c>
      <c r="B71" s="20">
        <v>5.5E-2</v>
      </c>
      <c r="C71" s="21">
        <f>(A71*B71)/365*90</f>
        <v>450692.98397260276</v>
      </c>
      <c r="D71" s="22">
        <f>C71+A108</f>
        <v>3773982.9839726025</v>
      </c>
      <c r="F71" s="71">
        <f>$A$108</f>
        <v>3323290</v>
      </c>
    </row>
    <row r="72" spans="1:6" ht="15.75">
      <c r="A72" s="19" t="s">
        <v>59</v>
      </c>
      <c r="B72" s="20"/>
      <c r="C72" s="21"/>
      <c r="D72" s="22"/>
      <c r="F72" s="71"/>
    </row>
    <row r="73" spans="1:6" ht="16.5" thickBot="1">
      <c r="A73" s="19">
        <f>A71-A108</f>
        <v>29909627</v>
      </c>
      <c r="B73" s="20">
        <v>5.5E-2</v>
      </c>
      <c r="C73" s="23">
        <f>(A73*B73)/365*90</f>
        <v>405623.70863013703</v>
      </c>
      <c r="D73" s="22">
        <f>C73+A108</f>
        <v>3728913.7086301371</v>
      </c>
      <c r="F73" s="71">
        <f>$A$108</f>
        <v>3323290</v>
      </c>
    </row>
    <row r="74" spans="1:6" ht="15.75">
      <c r="A74" s="24"/>
      <c r="B74" s="25" t="s">
        <v>23</v>
      </c>
      <c r="C74" s="26">
        <f>SUM(C67:C73)</f>
        <v>1892910.4865753427</v>
      </c>
      <c r="D74" s="27"/>
      <c r="F74" s="72"/>
    </row>
    <row r="75" spans="1:6" ht="33.75" thickBot="1">
      <c r="A75" s="32"/>
      <c r="B75" s="33"/>
      <c r="C75" s="34" t="s">
        <v>60</v>
      </c>
      <c r="D75" s="35">
        <f>SUM(D67:D73)</f>
        <v>15186070.486575343</v>
      </c>
      <c r="F75" s="74">
        <f>SUM(F67:F73)</f>
        <v>13293160</v>
      </c>
    </row>
    <row r="76" spans="1:6" ht="17.25" thickBot="1">
      <c r="A76" s="50"/>
      <c r="B76" s="51"/>
      <c r="C76" s="52"/>
      <c r="D76" s="53"/>
      <c r="F76" s="46"/>
    </row>
    <row r="77" spans="1:6" ht="39" thickBot="1">
      <c r="A77" s="54" t="s">
        <v>15</v>
      </c>
      <c r="B77" s="55" t="s">
        <v>16</v>
      </c>
      <c r="C77" s="55" t="s">
        <v>17</v>
      </c>
      <c r="D77" s="56" t="s">
        <v>18</v>
      </c>
      <c r="F77" s="69" t="s">
        <v>81</v>
      </c>
    </row>
    <row r="78" spans="1:6" ht="15.75">
      <c r="A78" s="15" t="s">
        <v>61</v>
      </c>
      <c r="B78" s="16"/>
      <c r="C78" s="17"/>
      <c r="D78" s="18"/>
      <c r="F78" s="70"/>
    </row>
    <row r="79" spans="1:6" ht="15.75">
      <c r="A79" s="19">
        <f>A73-A108</f>
        <v>26586337</v>
      </c>
      <c r="B79" s="20">
        <v>5.2999999999999999E-2</v>
      </c>
      <c r="C79" s="21">
        <f>(A79*B79)/365*90</f>
        <v>347443.36298630136</v>
      </c>
      <c r="D79" s="22">
        <f>C79+A108</f>
        <v>3670733.3629863015</v>
      </c>
      <c r="F79" s="71">
        <f>$A$108</f>
        <v>3323290</v>
      </c>
    </row>
    <row r="80" spans="1:6" ht="15.75">
      <c r="A80" s="19" t="s">
        <v>62</v>
      </c>
      <c r="B80" s="20"/>
      <c r="C80" s="21"/>
      <c r="D80" s="22"/>
      <c r="F80" s="71"/>
    </row>
    <row r="81" spans="1:6" ht="15.75">
      <c r="A81" s="19">
        <f>A79-A108</f>
        <v>23263047</v>
      </c>
      <c r="B81" s="20">
        <v>5.2999999999999999E-2</v>
      </c>
      <c r="C81" s="21">
        <f>(A81*B81)/365*90</f>
        <v>304012.97038356162</v>
      </c>
      <c r="D81" s="22">
        <f>C81+A108</f>
        <v>3627302.9703835617</v>
      </c>
      <c r="F81" s="71">
        <f>$A$108</f>
        <v>3323290</v>
      </c>
    </row>
    <row r="82" spans="1:6" ht="15.75">
      <c r="A82" s="19" t="s">
        <v>63</v>
      </c>
      <c r="B82" s="20"/>
      <c r="C82" s="21"/>
      <c r="D82" s="22"/>
      <c r="F82" s="71"/>
    </row>
    <row r="83" spans="1:6" ht="15.75">
      <c r="A83" s="19">
        <f>A81-A108</f>
        <v>19939757</v>
      </c>
      <c r="B83" s="20">
        <v>5.2999999999999999E-2</v>
      </c>
      <c r="C83" s="21">
        <f>(A83*B83)/365*90</f>
        <v>260582.57778082194</v>
      </c>
      <c r="D83" s="22">
        <f>C83+A108</f>
        <v>3583872.5777808218</v>
      </c>
      <c r="F83" s="71">
        <f>$A$108</f>
        <v>3323290</v>
      </c>
    </row>
    <row r="84" spans="1:6" ht="15.75">
      <c r="A84" s="19" t="s">
        <v>64</v>
      </c>
      <c r="B84" s="20"/>
      <c r="C84" s="21"/>
      <c r="D84" s="22"/>
      <c r="F84" s="71"/>
    </row>
    <row r="85" spans="1:6" ht="16.5" thickBot="1">
      <c r="A85" s="19">
        <f>A83-A108</f>
        <v>16616467</v>
      </c>
      <c r="B85" s="20">
        <v>5.2999999999999999E-2</v>
      </c>
      <c r="C85" s="23">
        <f>(A85*B85)/365*90</f>
        <v>217152.18517808215</v>
      </c>
      <c r="D85" s="22">
        <f>C85+A108</f>
        <v>3540442.185178082</v>
      </c>
      <c r="F85" s="71">
        <f>$A$108</f>
        <v>3323290</v>
      </c>
    </row>
    <row r="86" spans="1:6" ht="15.75">
      <c r="A86" s="24"/>
      <c r="B86" s="25" t="s">
        <v>23</v>
      </c>
      <c r="C86" s="26">
        <f>SUM(C79:C85)</f>
        <v>1129191.096328767</v>
      </c>
      <c r="D86" s="27"/>
      <c r="F86" s="72"/>
    </row>
    <row r="87" spans="1:6" ht="33.75" thickBot="1">
      <c r="A87" s="32"/>
      <c r="B87" s="33"/>
      <c r="C87" s="34" t="s">
        <v>65</v>
      </c>
      <c r="D87" s="35">
        <f>SUM(D79:D85)</f>
        <v>14422351.096328767</v>
      </c>
      <c r="F87" s="74">
        <f>SUM(F79:F85)</f>
        <v>13293160</v>
      </c>
    </row>
    <row r="88" spans="1:6" ht="17.25" thickBot="1">
      <c r="A88" s="50"/>
      <c r="B88" s="51"/>
      <c r="C88" s="52"/>
      <c r="D88" s="53"/>
      <c r="F88" s="46"/>
    </row>
    <row r="89" spans="1:6" ht="39" thickBot="1">
      <c r="A89" s="54" t="s">
        <v>15</v>
      </c>
      <c r="B89" s="55" t="s">
        <v>16</v>
      </c>
      <c r="C89" s="55" t="s">
        <v>17</v>
      </c>
      <c r="D89" s="56" t="s">
        <v>18</v>
      </c>
      <c r="F89" s="69" t="s">
        <v>81</v>
      </c>
    </row>
    <row r="90" spans="1:6" ht="15.75">
      <c r="A90" s="15" t="s">
        <v>66</v>
      </c>
      <c r="B90" s="16"/>
      <c r="C90" s="17"/>
      <c r="D90" s="18"/>
      <c r="F90" s="70"/>
    </row>
    <row r="91" spans="1:6" ht="15.75">
      <c r="A91" s="19">
        <f>A85-A108</f>
        <v>13293177</v>
      </c>
      <c r="B91" s="20">
        <v>0.05</v>
      </c>
      <c r="C91" s="21">
        <f>(A91*B91)/365*90</f>
        <v>163888.48356164386</v>
      </c>
      <c r="D91" s="22">
        <f>C91+A108</f>
        <v>3487178.4835616439</v>
      </c>
      <c r="F91" s="71">
        <f>$A$108</f>
        <v>3323290</v>
      </c>
    </row>
    <row r="92" spans="1:6" ht="15.75">
      <c r="A92" s="19" t="s">
        <v>67</v>
      </c>
      <c r="B92" s="20"/>
      <c r="C92" s="21"/>
      <c r="D92" s="22"/>
      <c r="F92" s="71"/>
    </row>
    <row r="93" spans="1:6" ht="15.75">
      <c r="A93" s="19">
        <f>A91-A108</f>
        <v>9969887</v>
      </c>
      <c r="B93" s="20">
        <v>0.05</v>
      </c>
      <c r="C93" s="21">
        <f>(A93*B93)/365*90</f>
        <v>122916.41506849315</v>
      </c>
      <c r="D93" s="22">
        <f>C93+A108</f>
        <v>3446206.4150684932</v>
      </c>
      <c r="F93" s="71">
        <f>$A$108</f>
        <v>3323290</v>
      </c>
    </row>
    <row r="94" spans="1:6" ht="15.75">
      <c r="A94" s="19" t="s">
        <v>68</v>
      </c>
      <c r="B94" s="20"/>
      <c r="C94" s="21"/>
      <c r="D94" s="22"/>
      <c r="F94" s="71"/>
    </row>
    <row r="95" spans="1:6" ht="15.75">
      <c r="A95" s="19">
        <f>A93-A108</f>
        <v>6646597</v>
      </c>
      <c r="B95" s="20">
        <v>0.05</v>
      </c>
      <c r="C95" s="21">
        <f>(A95*B95)/365*90</f>
        <v>81944.346575342468</v>
      </c>
      <c r="D95" s="22">
        <f>C95+A108</f>
        <v>3405234.3465753426</v>
      </c>
      <c r="F95" s="71">
        <f>$A$108</f>
        <v>3323290</v>
      </c>
    </row>
    <row r="96" spans="1:6" ht="15.75">
      <c r="A96" s="19" t="s">
        <v>69</v>
      </c>
      <c r="B96" s="20"/>
      <c r="C96" s="21"/>
      <c r="D96" s="22"/>
      <c r="F96" s="71"/>
    </row>
    <row r="97" spans="1:6" ht="16.5" thickBot="1">
      <c r="A97" s="19">
        <f>A95-A108</f>
        <v>3323307</v>
      </c>
      <c r="B97" s="20">
        <v>0.05</v>
      </c>
      <c r="C97" s="23">
        <f>(A97*B97)/365*90</f>
        <v>40972.278082191784</v>
      </c>
      <c r="D97" s="22">
        <f>C97+A108</f>
        <v>3364262.2780821919</v>
      </c>
      <c r="F97" s="71">
        <f>$A$109</f>
        <v>3323307.0016000001</v>
      </c>
    </row>
    <row r="98" spans="1:6" ht="15.75">
      <c r="A98" s="24"/>
      <c r="B98" s="25" t="s">
        <v>23</v>
      </c>
      <c r="C98" s="26">
        <f>SUM(C91:C97)</f>
        <v>409721.52328767127</v>
      </c>
      <c r="D98" s="27"/>
      <c r="F98" s="72"/>
    </row>
    <row r="99" spans="1:6" ht="33.75" thickBot="1">
      <c r="A99" s="32"/>
      <c r="B99" s="33"/>
      <c r="C99" s="34" t="s">
        <v>70</v>
      </c>
      <c r="D99" s="35">
        <f>SUM(D91:D97)</f>
        <v>13702881.523287671</v>
      </c>
      <c r="F99" s="74">
        <f>SUM(F91:F97)</f>
        <v>13293177.001600001</v>
      </c>
    </row>
    <row r="100" spans="1:6" ht="16.5">
      <c r="A100" s="50"/>
      <c r="B100" s="51"/>
      <c r="C100" s="52"/>
      <c r="D100" s="53"/>
      <c r="F100" s="79"/>
    </row>
    <row r="101" spans="1:6" ht="16.5">
      <c r="A101" s="50"/>
      <c r="B101" s="51"/>
      <c r="C101" s="52"/>
      <c r="D101" s="53"/>
    </row>
    <row r="102" spans="1:6" ht="18">
      <c r="A102" s="404" t="s">
        <v>71</v>
      </c>
      <c r="B102" s="404"/>
      <c r="C102" s="404"/>
      <c r="D102" s="57">
        <f>SUM(D104:D106)</f>
        <v>112617208.56906849</v>
      </c>
      <c r="F102" s="78">
        <f>SUM(F15,F27,F39,F51,F63,F75,F87,F99)</f>
        <v>93052137.001599997</v>
      </c>
    </row>
    <row r="103" spans="1:6" ht="16.5">
      <c r="A103" s="405" t="s">
        <v>72</v>
      </c>
      <c r="B103" s="405"/>
      <c r="C103" s="405"/>
      <c r="D103" s="58"/>
    </row>
    <row r="104" spans="1:6">
      <c r="A104" s="401" t="s">
        <v>73</v>
      </c>
      <c r="B104" s="401"/>
      <c r="C104" s="401"/>
      <c r="D104" s="59">
        <v>92052137</v>
      </c>
    </row>
    <row r="105" spans="1:6">
      <c r="A105" s="401" t="s">
        <v>74</v>
      </c>
      <c r="B105" s="401"/>
      <c r="C105" s="401"/>
      <c r="D105" s="59">
        <f>SUM(C14,C26,C38,C50,C62,C74,C86,C98)</f>
        <v>20192863.021068495</v>
      </c>
    </row>
    <row r="106" spans="1:6">
      <c r="A106" s="401" t="s">
        <v>75</v>
      </c>
      <c r="B106" s="401"/>
      <c r="C106" s="401"/>
      <c r="D106" s="59">
        <f>C14</f>
        <v>372208.54800000001</v>
      </c>
    </row>
    <row r="107" spans="1:6">
      <c r="A107" s="60" t="s">
        <v>76</v>
      </c>
      <c r="B107" s="61"/>
    </row>
    <row r="108" spans="1:6" ht="15.75">
      <c r="A108" s="62">
        <v>3323290</v>
      </c>
      <c r="B108" s="147" t="s">
        <v>171</v>
      </c>
    </row>
    <row r="109" spans="1:6" ht="15.75">
      <c r="A109" s="140">
        <f>A108+(0.6072*28)</f>
        <v>3323307.0016000001</v>
      </c>
      <c r="B109" s="148" t="s">
        <v>169</v>
      </c>
      <c r="C109" s="105"/>
      <c r="D109" s="63">
        <f>SUM(D105:D106)</f>
        <v>20565071.569068495</v>
      </c>
    </row>
    <row r="111" spans="1:6" ht="15.75">
      <c r="A111" t="s">
        <v>77</v>
      </c>
      <c r="B111" s="64">
        <v>3.8600000000000002E-2</v>
      </c>
    </row>
    <row r="112" spans="1:6">
      <c r="A112" s="61" t="s">
        <v>78</v>
      </c>
      <c r="B112" s="65">
        <v>1.6578999999999999</v>
      </c>
    </row>
    <row r="113" spans="1:2">
      <c r="A113" s="61" t="s">
        <v>79</v>
      </c>
    </row>
    <row r="114" spans="1:2">
      <c r="B114" s="139">
        <f>3.86*165.79%</f>
        <v>6.3994939999999998</v>
      </c>
    </row>
  </sheetData>
  <mergeCells count="7">
    <mergeCell ref="A106:C106"/>
    <mergeCell ref="A2:F2"/>
    <mergeCell ref="A3:D3"/>
    <mergeCell ref="A102:C102"/>
    <mergeCell ref="A103:C103"/>
    <mergeCell ref="A104:C104"/>
    <mergeCell ref="A105:C10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F103"/>
  <sheetViews>
    <sheetView topLeftCell="A4" zoomScaleNormal="100" workbookViewId="0">
      <selection activeCell="J18" sqref="J18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6" ht="39" customHeight="1">
      <c r="A2" s="402" t="s">
        <v>167</v>
      </c>
      <c r="B2" s="402"/>
      <c r="C2" s="402"/>
      <c r="D2" s="402"/>
      <c r="E2" s="402"/>
      <c r="F2" s="402"/>
    </row>
    <row r="3" spans="1:6">
      <c r="A3" s="403"/>
      <c r="B3" s="403"/>
      <c r="C3" s="403"/>
      <c r="D3" s="403"/>
      <c r="F3" s="67" t="s">
        <v>80</v>
      </c>
    </row>
    <row r="4" spans="1:6" ht="15" thickBot="1">
      <c r="D4" s="11" t="s">
        <v>14</v>
      </c>
    </row>
    <row r="5" spans="1:6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6" ht="11.25" customHeight="1">
      <c r="A6" s="15" t="s">
        <v>36</v>
      </c>
      <c r="B6" s="16"/>
      <c r="C6" s="17"/>
      <c r="D6" s="18"/>
      <c r="F6" s="70"/>
    </row>
    <row r="7" spans="1:6" ht="15.75">
      <c r="A7" s="19"/>
      <c r="B7" s="20">
        <v>0</v>
      </c>
      <c r="C7" s="21">
        <f>(A7*B7)/365*90</f>
        <v>0</v>
      </c>
      <c r="D7" s="22">
        <v>0</v>
      </c>
      <c r="F7" s="71"/>
    </row>
    <row r="8" spans="1:6" ht="15.75">
      <c r="A8" s="19" t="s">
        <v>37</v>
      </c>
      <c r="B8" s="20"/>
      <c r="C8" s="21"/>
      <c r="D8" s="22"/>
      <c r="F8" s="71"/>
    </row>
    <row r="9" spans="1:6" ht="15.75">
      <c r="A9" s="19"/>
      <c r="B9" s="20">
        <v>0</v>
      </c>
      <c r="C9" s="21">
        <f>(A9*B9)/365*90</f>
        <v>0</v>
      </c>
      <c r="D9" s="22">
        <v>0</v>
      </c>
      <c r="F9" s="71"/>
    </row>
    <row r="10" spans="1:6" ht="15.75">
      <c r="A10" s="19" t="s">
        <v>38</v>
      </c>
      <c r="B10" s="20"/>
      <c r="C10" s="21"/>
      <c r="D10" s="22"/>
      <c r="F10" s="71"/>
    </row>
    <row r="11" spans="1:6" ht="15.75">
      <c r="A11" s="19"/>
      <c r="B11" s="20">
        <v>0</v>
      </c>
      <c r="C11" s="21">
        <f>(A11*B11)/365*90</f>
        <v>0</v>
      </c>
      <c r="D11" s="22">
        <v>0</v>
      </c>
      <c r="F11" s="71"/>
    </row>
    <row r="12" spans="1:6" ht="15.75">
      <c r="A12" s="19" t="s">
        <v>39</v>
      </c>
      <c r="B12" s="20"/>
      <c r="C12" s="21"/>
      <c r="D12" s="22"/>
      <c r="F12" s="71"/>
    </row>
    <row r="13" spans="1:6" ht="16.5" thickBot="1">
      <c r="A13" s="19">
        <v>32048780</v>
      </c>
      <c r="B13" s="20">
        <v>0</v>
      </c>
      <c r="C13" s="23">
        <f>(A13*B13)/365*90</f>
        <v>0</v>
      </c>
      <c r="D13" s="22">
        <f>C13</f>
        <v>0</v>
      </c>
      <c r="F13" s="71"/>
    </row>
    <row r="14" spans="1:6" ht="15.75">
      <c r="A14" s="24"/>
      <c r="B14" s="29" t="s">
        <v>183</v>
      </c>
      <c r="C14" s="26">
        <f>0.4%*A13</f>
        <v>128195.12000000001</v>
      </c>
      <c r="D14" s="27"/>
      <c r="F14" s="72"/>
    </row>
    <row r="15" spans="1:6" ht="33.75" thickBot="1">
      <c r="A15" s="32"/>
      <c r="B15" s="33"/>
      <c r="C15" s="34" t="s">
        <v>40</v>
      </c>
      <c r="D15" s="35">
        <f>SUM(D7:D13)</f>
        <v>0</v>
      </c>
      <c r="F15" s="74">
        <f>SUM(F7:F13)</f>
        <v>0</v>
      </c>
    </row>
    <row r="16" spans="1:6" ht="15" thickBot="1">
      <c r="A16" s="36"/>
      <c r="B16" s="37"/>
      <c r="C16" s="38"/>
      <c r="D16" s="36"/>
      <c r="F16" s="77"/>
    </row>
    <row r="17" spans="1:6" ht="17.25" thickBot="1">
      <c r="A17" s="43"/>
      <c r="B17" s="44"/>
      <c r="C17" s="45"/>
      <c r="D17" s="46"/>
      <c r="F17" s="46"/>
    </row>
    <row r="18" spans="1:6" ht="39" thickBot="1">
      <c r="A18" s="47" t="s">
        <v>15</v>
      </c>
      <c r="B18" s="48" t="s">
        <v>16</v>
      </c>
      <c r="C18" s="48" t="s">
        <v>17</v>
      </c>
      <c r="D18" s="49" t="s">
        <v>18</v>
      </c>
      <c r="F18" s="69" t="s">
        <v>81</v>
      </c>
    </row>
    <row r="19" spans="1:6" ht="15.75">
      <c r="A19" s="15" t="s">
        <v>41</v>
      </c>
      <c r="B19" s="16"/>
      <c r="C19" s="17"/>
      <c r="D19" s="18"/>
      <c r="F19" s="70"/>
    </row>
    <row r="20" spans="1:6" ht="15.75">
      <c r="A20" s="19">
        <f>A13</f>
        <v>32048780</v>
      </c>
      <c r="B20" s="20">
        <v>5.5E-2</v>
      </c>
      <c r="C20" s="21">
        <f>(A20*B20)/365*90</f>
        <v>434634.13972602738</v>
      </c>
      <c r="D20" s="22">
        <f>C20+A97</f>
        <v>1769999.1397260274</v>
      </c>
      <c r="F20" s="71">
        <f>$A$97</f>
        <v>1335365</v>
      </c>
    </row>
    <row r="21" spans="1:6" ht="15.75">
      <c r="A21" s="19" t="s">
        <v>42</v>
      </c>
      <c r="B21" s="20"/>
      <c r="C21" s="21"/>
      <c r="D21" s="22"/>
      <c r="F21" s="71"/>
    </row>
    <row r="22" spans="1:6" ht="15.75">
      <c r="A22" s="19">
        <f>A20-A97</f>
        <v>30713415</v>
      </c>
      <c r="B22" s="20">
        <v>5.5E-2</v>
      </c>
      <c r="C22" s="21">
        <f>(A22*B22)/365*90</f>
        <v>416524.39520547941</v>
      </c>
      <c r="D22" s="22">
        <f>C22+A97</f>
        <v>1751889.3952054793</v>
      </c>
      <c r="F22" s="71">
        <f>$A$97</f>
        <v>1335365</v>
      </c>
    </row>
    <row r="23" spans="1:6" ht="15.75">
      <c r="A23" s="19" t="s">
        <v>43</v>
      </c>
      <c r="B23" s="20"/>
      <c r="C23" s="21"/>
      <c r="D23" s="22"/>
      <c r="F23" s="71"/>
    </row>
    <row r="24" spans="1:6" ht="15.75">
      <c r="A24" s="19">
        <f>A22-A97</f>
        <v>29378050</v>
      </c>
      <c r="B24" s="20">
        <v>5.5E-2</v>
      </c>
      <c r="C24" s="21">
        <f>(A24*B24)/365*90</f>
        <v>398414.65068493149</v>
      </c>
      <c r="D24" s="22">
        <f>C24+A97</f>
        <v>1733779.6506849315</v>
      </c>
      <c r="F24" s="71">
        <f>$A$97</f>
        <v>1335365</v>
      </c>
    </row>
    <row r="25" spans="1:6" ht="15.75">
      <c r="A25" s="19" t="s">
        <v>44</v>
      </c>
      <c r="B25" s="20"/>
      <c r="C25" s="21"/>
      <c r="D25" s="22"/>
      <c r="F25" s="71"/>
    </row>
    <row r="26" spans="1:6" ht="16.5" thickBot="1">
      <c r="A26" s="19">
        <f>A24-A97</f>
        <v>28042685</v>
      </c>
      <c r="B26" s="20">
        <v>5.5E-2</v>
      </c>
      <c r="C26" s="23">
        <f>(A26*B26)/365*90</f>
        <v>380304.90616438357</v>
      </c>
      <c r="D26" s="22">
        <f>C26+A97</f>
        <v>1715669.9061643835</v>
      </c>
      <c r="F26" s="71">
        <f>$A$97</f>
        <v>1335365</v>
      </c>
    </row>
    <row r="27" spans="1:6" ht="15.75">
      <c r="A27" s="24"/>
      <c r="B27" s="25" t="s">
        <v>23</v>
      </c>
      <c r="C27" s="26">
        <f>SUM(C20:C26)</f>
        <v>1629878.0917808218</v>
      </c>
      <c r="D27" s="27"/>
      <c r="F27" s="72"/>
    </row>
    <row r="28" spans="1:6" ht="33.75" thickBot="1">
      <c r="A28" s="32"/>
      <c r="B28" s="33"/>
      <c r="C28" s="34" t="s">
        <v>45</v>
      </c>
      <c r="D28" s="35">
        <f>SUM(D20:D26)</f>
        <v>6971338.0917808218</v>
      </c>
      <c r="F28" s="74">
        <f>SUM(F20:F26)</f>
        <v>5341460</v>
      </c>
    </row>
    <row r="29" spans="1:6" ht="17.25" thickBot="1">
      <c r="A29" s="50"/>
      <c r="B29" s="51"/>
      <c r="C29" s="52"/>
      <c r="D29" s="53"/>
      <c r="F29" s="46"/>
    </row>
    <row r="30" spans="1:6" ht="39" thickBot="1">
      <c r="A30" s="54" t="s">
        <v>15</v>
      </c>
      <c r="B30" s="55" t="s">
        <v>16</v>
      </c>
      <c r="C30" s="55" t="s">
        <v>17</v>
      </c>
      <c r="D30" s="56" t="s">
        <v>18</v>
      </c>
      <c r="F30" s="69" t="s">
        <v>81</v>
      </c>
    </row>
    <row r="31" spans="1:6" ht="15.75">
      <c r="A31" s="15" t="s">
        <v>46</v>
      </c>
      <c r="B31" s="16"/>
      <c r="C31" s="17"/>
      <c r="D31" s="18"/>
      <c r="F31" s="70"/>
    </row>
    <row r="32" spans="1:6" ht="15.75">
      <c r="A32" s="19">
        <f>A26-A97</f>
        <v>26707320</v>
      </c>
      <c r="B32" s="20">
        <v>5.5E-2</v>
      </c>
      <c r="C32" s="21">
        <f>(A32*B32)/365*90</f>
        <v>362195.16164383566</v>
      </c>
      <c r="D32" s="22">
        <f>C32+A97</f>
        <v>1697560.1616438357</v>
      </c>
      <c r="F32" s="71">
        <f>$A$97</f>
        <v>1335365</v>
      </c>
    </row>
    <row r="33" spans="1:6" ht="15.75">
      <c r="A33" s="19" t="s">
        <v>47</v>
      </c>
      <c r="B33" s="20"/>
      <c r="C33" s="21"/>
      <c r="D33" s="22"/>
      <c r="F33" s="71"/>
    </row>
    <row r="34" spans="1:6" ht="15.75">
      <c r="A34" s="19">
        <f>A32-A97</f>
        <v>25371955</v>
      </c>
      <c r="B34" s="20">
        <v>5.5E-2</v>
      </c>
      <c r="C34" s="21">
        <f>(A34*B34)/365*90</f>
        <v>344085.41712328763</v>
      </c>
      <c r="D34" s="22">
        <f>C34+A97</f>
        <v>1679450.4171232877</v>
      </c>
      <c r="F34" s="71">
        <f>$A$97</f>
        <v>1335365</v>
      </c>
    </row>
    <row r="35" spans="1:6" ht="15.75">
      <c r="A35" s="19" t="s">
        <v>48</v>
      </c>
      <c r="B35" s="20"/>
      <c r="C35" s="21"/>
      <c r="D35" s="22"/>
      <c r="F35" s="71"/>
    </row>
    <row r="36" spans="1:6" ht="15.75">
      <c r="A36" s="19">
        <f>A34-A97</f>
        <v>24036590</v>
      </c>
      <c r="B36" s="20">
        <v>5.5E-2</v>
      </c>
      <c r="C36" s="21">
        <f>(A36*B36)/365*90</f>
        <v>325975.67260273971</v>
      </c>
      <c r="D36" s="22">
        <f>C36+A97</f>
        <v>1661340.6726027397</v>
      </c>
      <c r="F36" s="71">
        <f>$A$97</f>
        <v>1335365</v>
      </c>
    </row>
    <row r="37" spans="1:6" ht="15.75">
      <c r="A37" s="19" t="s">
        <v>49</v>
      </c>
      <c r="B37" s="20"/>
      <c r="C37" s="21"/>
      <c r="D37" s="22"/>
      <c r="F37" s="71"/>
    </row>
    <row r="38" spans="1:6" ht="16.5" thickBot="1">
      <c r="A38" s="19">
        <f>A36-A97</f>
        <v>22701225</v>
      </c>
      <c r="B38" s="20">
        <v>5.5E-2</v>
      </c>
      <c r="C38" s="23">
        <f>(A38*B38)/365*90</f>
        <v>307865.92808219173</v>
      </c>
      <c r="D38" s="22">
        <f>C38+A97</f>
        <v>1643230.9280821919</v>
      </c>
      <c r="F38" s="71">
        <f>$A$97</f>
        <v>1335365</v>
      </c>
    </row>
    <row r="39" spans="1:6" ht="15.75">
      <c r="A39" s="24"/>
      <c r="B39" s="25" t="s">
        <v>23</v>
      </c>
      <c r="C39" s="26">
        <f>SUM(C32:C38)</f>
        <v>1340122.1794520547</v>
      </c>
      <c r="D39" s="27"/>
      <c r="F39" s="72"/>
    </row>
    <row r="40" spans="1:6" ht="33.75" thickBot="1">
      <c r="A40" s="32"/>
      <c r="B40" s="33"/>
      <c r="C40" s="34" t="s">
        <v>50</v>
      </c>
      <c r="D40" s="35">
        <f>SUM(D32:D38)</f>
        <v>6681582.1794520561</v>
      </c>
      <c r="F40" s="74">
        <f>SUM(F32:F38)</f>
        <v>5341460</v>
      </c>
    </row>
    <row r="41" spans="1:6" ht="17.25" thickBot="1">
      <c r="A41" s="50"/>
      <c r="B41" s="51"/>
      <c r="C41" s="52"/>
      <c r="D41" s="53"/>
      <c r="F41" s="46"/>
    </row>
    <row r="42" spans="1:6" ht="39" thickBot="1">
      <c r="A42" s="54" t="s">
        <v>15</v>
      </c>
      <c r="B42" s="55" t="s">
        <v>16</v>
      </c>
      <c r="C42" s="55" t="s">
        <v>17</v>
      </c>
      <c r="D42" s="56" t="s">
        <v>18</v>
      </c>
      <c r="F42" s="69" t="s">
        <v>81</v>
      </c>
    </row>
    <row r="43" spans="1:6" ht="15.75">
      <c r="A43" s="15" t="s">
        <v>51</v>
      </c>
      <c r="B43" s="16"/>
      <c r="C43" s="17"/>
      <c r="D43" s="18"/>
      <c r="F43" s="70"/>
    </row>
    <row r="44" spans="1:6" ht="15.75">
      <c r="A44" s="19">
        <f>A38-A97</f>
        <v>21365860</v>
      </c>
      <c r="B44" s="20">
        <v>5.2999999999999999E-2</v>
      </c>
      <c r="C44" s="21">
        <f>(A44*B44)/365*90</f>
        <v>279219.59506849316</v>
      </c>
      <c r="D44" s="22">
        <f>C44+A97</f>
        <v>1614584.5950684932</v>
      </c>
      <c r="F44" s="71">
        <f>$A$97</f>
        <v>1335365</v>
      </c>
    </row>
    <row r="45" spans="1:6" ht="15.75">
      <c r="A45" s="19" t="s">
        <v>52</v>
      </c>
      <c r="B45" s="20"/>
      <c r="C45" s="21"/>
      <c r="D45" s="22"/>
      <c r="F45" s="71"/>
    </row>
    <row r="46" spans="1:6" ht="15.75">
      <c r="A46" s="19">
        <f>A44-A97</f>
        <v>20030495</v>
      </c>
      <c r="B46" s="20">
        <v>5.2999999999999999E-2</v>
      </c>
      <c r="C46" s="21">
        <f>(A46*B46)/365*90</f>
        <v>261768.38671232873</v>
      </c>
      <c r="D46" s="22">
        <f>C46+A97</f>
        <v>1597133.3867123288</v>
      </c>
      <c r="F46" s="71">
        <f>$A$97</f>
        <v>1335365</v>
      </c>
    </row>
    <row r="47" spans="1:6" ht="15.75">
      <c r="A47" s="19" t="s">
        <v>53</v>
      </c>
      <c r="B47" s="20"/>
      <c r="C47" s="21"/>
      <c r="D47" s="22"/>
      <c r="F47" s="71"/>
    </row>
    <row r="48" spans="1:6" ht="15.75">
      <c r="A48" s="19">
        <f>A46-A97</f>
        <v>18695130</v>
      </c>
      <c r="B48" s="20">
        <v>5.2999999999999999E-2</v>
      </c>
      <c r="C48" s="21">
        <f>(A48*B48)/365*90</f>
        <v>244317.17835616437</v>
      </c>
      <c r="D48" s="22">
        <f>C48+A97</f>
        <v>1579682.1783561644</v>
      </c>
      <c r="F48" s="71">
        <f>$A$97</f>
        <v>1335365</v>
      </c>
    </row>
    <row r="49" spans="1:6" ht="15.75">
      <c r="A49" s="19" t="s">
        <v>54</v>
      </c>
      <c r="B49" s="20"/>
      <c r="C49" s="21"/>
      <c r="D49" s="22"/>
      <c r="F49" s="71"/>
    </row>
    <row r="50" spans="1:6" ht="16.5" thickBot="1">
      <c r="A50" s="19">
        <f>A48-A97</f>
        <v>17359765</v>
      </c>
      <c r="B50" s="20">
        <v>5.2999999999999999E-2</v>
      </c>
      <c r="C50" s="23">
        <f>(A50*B50)/365*90</f>
        <v>226865.96999999997</v>
      </c>
      <c r="D50" s="22">
        <f>C50+A97</f>
        <v>1562230.97</v>
      </c>
      <c r="F50" s="71">
        <f>$A$97</f>
        <v>1335365</v>
      </c>
    </row>
    <row r="51" spans="1:6" ht="15.75">
      <c r="A51" s="24"/>
      <c r="B51" s="25" t="s">
        <v>23</v>
      </c>
      <c r="C51" s="26">
        <f>SUM(C44:C50)</f>
        <v>1012171.1301369863</v>
      </c>
      <c r="D51" s="27"/>
      <c r="F51" s="72"/>
    </row>
    <row r="52" spans="1:6" ht="33.75" thickBot="1">
      <c r="A52" s="32"/>
      <c r="B52" s="33"/>
      <c r="C52" s="34" t="s">
        <v>55</v>
      </c>
      <c r="D52" s="35">
        <f>SUM(D44:D50)</f>
        <v>6353631.1301369863</v>
      </c>
      <c r="F52" s="74">
        <f>SUM(F44:F50)</f>
        <v>5341460</v>
      </c>
    </row>
    <row r="53" spans="1:6" ht="17.25" thickBot="1">
      <c r="A53" s="50"/>
      <c r="B53" s="51"/>
      <c r="C53" s="52"/>
      <c r="D53" s="53"/>
      <c r="F53" s="46"/>
    </row>
    <row r="54" spans="1:6" ht="39" thickBot="1">
      <c r="A54" s="54" t="s">
        <v>15</v>
      </c>
      <c r="B54" s="55" t="s">
        <v>16</v>
      </c>
      <c r="C54" s="55" t="s">
        <v>17</v>
      </c>
      <c r="D54" s="56" t="s">
        <v>18</v>
      </c>
      <c r="F54" s="69" t="s">
        <v>81</v>
      </c>
    </row>
    <row r="55" spans="1:6" ht="15.75">
      <c r="A55" s="15" t="s">
        <v>56</v>
      </c>
      <c r="B55" s="16"/>
      <c r="C55" s="17"/>
      <c r="D55" s="18"/>
      <c r="F55" s="70"/>
    </row>
    <row r="56" spans="1:6" ht="15.75">
      <c r="A56" s="19">
        <f>A50-A97</f>
        <v>16024400</v>
      </c>
      <c r="B56" s="20">
        <v>5.5E-2</v>
      </c>
      <c r="C56" s="21">
        <f>(A56*B56)/365*90</f>
        <v>217317.20547945204</v>
      </c>
      <c r="D56" s="22">
        <f>C56+A97</f>
        <v>1552682.2054794519</v>
      </c>
      <c r="F56" s="71">
        <f>$A$97</f>
        <v>1335365</v>
      </c>
    </row>
    <row r="57" spans="1:6" ht="15.75">
      <c r="A57" s="19" t="s">
        <v>57</v>
      </c>
      <c r="B57" s="20"/>
      <c r="C57" s="21"/>
      <c r="D57" s="22"/>
      <c r="F57" s="71"/>
    </row>
    <row r="58" spans="1:6" ht="15.75">
      <c r="A58" s="19">
        <f>A56-A97</f>
        <v>14689035</v>
      </c>
      <c r="B58" s="20">
        <v>5.5E-2</v>
      </c>
      <c r="C58" s="21">
        <f>(A58*B58)/365*90</f>
        <v>199207.46095890412</v>
      </c>
      <c r="D58" s="22">
        <f>C58+A97</f>
        <v>1534572.4609589041</v>
      </c>
      <c r="F58" s="71">
        <f>$A$97</f>
        <v>1335365</v>
      </c>
    </row>
    <row r="59" spans="1:6" ht="15.75">
      <c r="A59" s="19" t="s">
        <v>58</v>
      </c>
      <c r="B59" s="20"/>
      <c r="C59" s="21"/>
      <c r="D59" s="22"/>
      <c r="F59" s="71"/>
    </row>
    <row r="60" spans="1:6" ht="15.75">
      <c r="A60" s="19">
        <f>A58-A97</f>
        <v>13353670</v>
      </c>
      <c r="B60" s="20">
        <v>5.5E-2</v>
      </c>
      <c r="C60" s="21">
        <f>(A60*B60)/365*90</f>
        <v>181097.71643835615</v>
      </c>
      <c r="D60" s="22">
        <f>C60+A97</f>
        <v>1516462.7164383561</v>
      </c>
      <c r="F60" s="71">
        <f>$A$97</f>
        <v>1335365</v>
      </c>
    </row>
    <row r="61" spans="1:6" ht="15.75">
      <c r="A61" s="19" t="s">
        <v>59</v>
      </c>
      <c r="B61" s="20"/>
      <c r="C61" s="21"/>
      <c r="D61" s="22"/>
      <c r="F61" s="71"/>
    </row>
    <row r="62" spans="1:6" ht="16.5" thickBot="1">
      <c r="A62" s="19">
        <f>A60-A97</f>
        <v>12018305</v>
      </c>
      <c r="B62" s="20">
        <v>5.5E-2</v>
      </c>
      <c r="C62" s="23">
        <f>(A62*B62)/365*90</f>
        <v>162987.97191780823</v>
      </c>
      <c r="D62" s="22">
        <f>C62+A97</f>
        <v>1498352.9719178083</v>
      </c>
      <c r="F62" s="71">
        <f>$A$97</f>
        <v>1335365</v>
      </c>
    </row>
    <row r="63" spans="1:6" ht="15.75">
      <c r="A63" s="24"/>
      <c r="B63" s="25" t="s">
        <v>23</v>
      </c>
      <c r="C63" s="26">
        <f>SUM(C56:C62)</f>
        <v>760610.35479452065</v>
      </c>
      <c r="D63" s="27"/>
      <c r="F63" s="72"/>
    </row>
    <row r="64" spans="1:6" ht="33.75" thickBot="1">
      <c r="A64" s="32"/>
      <c r="B64" s="33"/>
      <c r="C64" s="34" t="s">
        <v>60</v>
      </c>
      <c r="D64" s="35">
        <f>SUM(D56:D62)</f>
        <v>6102070.35479452</v>
      </c>
      <c r="F64" s="74">
        <f>SUM(F56:F62)</f>
        <v>5341460</v>
      </c>
    </row>
    <row r="65" spans="1:6" ht="17.25" thickBot="1">
      <c r="A65" s="50"/>
      <c r="B65" s="51"/>
      <c r="C65" s="52"/>
      <c r="D65" s="53"/>
      <c r="F65" s="46"/>
    </row>
    <row r="66" spans="1:6" ht="39" thickBot="1">
      <c r="A66" s="54" t="s">
        <v>15</v>
      </c>
      <c r="B66" s="55" t="s">
        <v>16</v>
      </c>
      <c r="C66" s="55" t="s">
        <v>17</v>
      </c>
      <c r="D66" s="56" t="s">
        <v>18</v>
      </c>
      <c r="F66" s="69" t="s">
        <v>81</v>
      </c>
    </row>
    <row r="67" spans="1:6" ht="15.75">
      <c r="A67" s="15" t="s">
        <v>61</v>
      </c>
      <c r="B67" s="16"/>
      <c r="C67" s="17"/>
      <c r="D67" s="18"/>
      <c r="F67" s="70"/>
    </row>
    <row r="68" spans="1:6" ht="15.75">
      <c r="A68" s="19">
        <f>A62-A97</f>
        <v>10682940</v>
      </c>
      <c r="B68" s="20">
        <v>5.2999999999999999E-2</v>
      </c>
      <c r="C68" s="21">
        <f>(A68*B68)/365*90</f>
        <v>139609.92821917805</v>
      </c>
      <c r="D68" s="22">
        <f>C68+A97</f>
        <v>1474974.928219178</v>
      </c>
      <c r="F68" s="71">
        <f>$A$97</f>
        <v>1335365</v>
      </c>
    </row>
    <row r="69" spans="1:6" ht="15.75">
      <c r="A69" s="19" t="s">
        <v>62</v>
      </c>
      <c r="B69" s="20"/>
      <c r="C69" s="21"/>
      <c r="D69" s="22"/>
      <c r="F69" s="71"/>
    </row>
    <row r="70" spans="1:6" ht="15.75">
      <c r="A70" s="19">
        <f>A68-A97</f>
        <v>9347575</v>
      </c>
      <c r="B70" s="20">
        <v>5.2999999999999999E-2</v>
      </c>
      <c r="C70" s="21">
        <f>(A70*B70)/365*90</f>
        <v>122158.7198630137</v>
      </c>
      <c r="D70" s="22">
        <f>C70+A97</f>
        <v>1457523.7198630136</v>
      </c>
      <c r="F70" s="71">
        <f>$A$97</f>
        <v>1335365</v>
      </c>
    </row>
    <row r="71" spans="1:6" ht="15.75">
      <c r="A71" s="19" t="s">
        <v>63</v>
      </c>
      <c r="B71" s="20"/>
      <c r="C71" s="21"/>
      <c r="D71" s="22"/>
      <c r="F71" s="71"/>
    </row>
    <row r="72" spans="1:6" ht="15.75">
      <c r="A72" s="19">
        <f>A70-A97</f>
        <v>8012210</v>
      </c>
      <c r="B72" s="20">
        <v>5.2999999999999999E-2</v>
      </c>
      <c r="C72" s="21">
        <f>(A72*B72)/365*90</f>
        <v>104707.51150684932</v>
      </c>
      <c r="D72" s="22">
        <f>C72+A97</f>
        <v>1440072.5115068494</v>
      </c>
      <c r="F72" s="71">
        <f>$A$97</f>
        <v>1335365</v>
      </c>
    </row>
    <row r="73" spans="1:6" ht="15.75">
      <c r="A73" s="19" t="s">
        <v>64</v>
      </c>
      <c r="B73" s="20"/>
      <c r="C73" s="21"/>
      <c r="D73" s="22"/>
      <c r="F73" s="71"/>
    </row>
    <row r="74" spans="1:6" ht="16.5" thickBot="1">
      <c r="A74" s="19">
        <f>A72-A97</f>
        <v>6676845</v>
      </c>
      <c r="B74" s="20">
        <v>5.2999999999999999E-2</v>
      </c>
      <c r="C74" s="23">
        <f>(A74*B74)/365*90</f>
        <v>87256.303150684922</v>
      </c>
      <c r="D74" s="22">
        <f>C74+A97</f>
        <v>1422621.303150685</v>
      </c>
      <c r="F74" s="71">
        <f>$A$97</f>
        <v>1335365</v>
      </c>
    </row>
    <row r="75" spans="1:6" ht="15.75">
      <c r="A75" s="24"/>
      <c r="B75" s="25" t="s">
        <v>23</v>
      </c>
      <c r="C75" s="26">
        <f>SUM(C68:C74)</f>
        <v>453732.462739726</v>
      </c>
      <c r="D75" s="27"/>
      <c r="F75" s="72"/>
    </row>
    <row r="76" spans="1:6" ht="33.75" thickBot="1">
      <c r="A76" s="32"/>
      <c r="B76" s="33"/>
      <c r="C76" s="34" t="s">
        <v>65</v>
      </c>
      <c r="D76" s="35">
        <f>SUM(D68:D74)</f>
        <v>5795192.4627397265</v>
      </c>
      <c r="F76" s="74">
        <f>SUM(F68:F74)</f>
        <v>5341460</v>
      </c>
    </row>
    <row r="77" spans="1:6" ht="17.25" thickBot="1">
      <c r="A77" s="50"/>
      <c r="B77" s="51"/>
      <c r="C77" s="52"/>
      <c r="D77" s="53"/>
      <c r="F77" s="46"/>
    </row>
    <row r="78" spans="1:6" ht="39" thickBot="1">
      <c r="A78" s="54" t="s">
        <v>15</v>
      </c>
      <c r="B78" s="55" t="s">
        <v>16</v>
      </c>
      <c r="C78" s="55" t="s">
        <v>17</v>
      </c>
      <c r="D78" s="56" t="s">
        <v>18</v>
      </c>
      <c r="F78" s="69" t="s">
        <v>81</v>
      </c>
    </row>
    <row r="79" spans="1:6" ht="15.75">
      <c r="A79" s="15" t="s">
        <v>66</v>
      </c>
      <c r="B79" s="16"/>
      <c r="C79" s="17"/>
      <c r="D79" s="18"/>
      <c r="F79" s="70"/>
    </row>
    <row r="80" spans="1:6" ht="15.75">
      <c r="A80" s="19">
        <f>A74-A97</f>
        <v>5341480</v>
      </c>
      <c r="B80" s="20">
        <v>0.05</v>
      </c>
      <c r="C80" s="21">
        <f>(A80*B80)/365*90</f>
        <v>65853.863013698632</v>
      </c>
      <c r="D80" s="22">
        <f>C80+A97</f>
        <v>1401218.8630136987</v>
      </c>
      <c r="F80" s="71">
        <f>$A$97</f>
        <v>1335365</v>
      </c>
    </row>
    <row r="81" spans="1:6" ht="15.75">
      <c r="A81" s="19" t="s">
        <v>67</v>
      </c>
      <c r="B81" s="20"/>
      <c r="C81" s="21"/>
      <c r="D81" s="22"/>
      <c r="F81" s="71"/>
    </row>
    <row r="82" spans="1:6" ht="15.75">
      <c r="A82" s="19">
        <f>A80-A97</f>
        <v>4006115</v>
      </c>
      <c r="B82" s="20">
        <v>0.05</v>
      </c>
      <c r="C82" s="21">
        <f>(A82*B82)/365*90</f>
        <v>49390.45890410959</v>
      </c>
      <c r="D82" s="22">
        <f>C82+A97</f>
        <v>1384755.4589041097</v>
      </c>
      <c r="F82" s="71">
        <f>$A$97</f>
        <v>1335365</v>
      </c>
    </row>
    <row r="83" spans="1:6" ht="15.75">
      <c r="A83" s="19" t="s">
        <v>68</v>
      </c>
      <c r="B83" s="20"/>
      <c r="C83" s="21"/>
      <c r="D83" s="22"/>
      <c r="F83" s="71"/>
    </row>
    <row r="84" spans="1:6" ht="15.75">
      <c r="A84" s="19">
        <f>A82-A97</f>
        <v>2670750</v>
      </c>
      <c r="B84" s="20">
        <v>0.05</v>
      </c>
      <c r="C84" s="21">
        <f>(A84*B84)/365*90</f>
        <v>32927.054794520547</v>
      </c>
      <c r="D84" s="22">
        <f>C84+A97</f>
        <v>1368292.0547945206</v>
      </c>
      <c r="F84" s="71">
        <f>$A$97</f>
        <v>1335365</v>
      </c>
    </row>
    <row r="85" spans="1:6" ht="15.75">
      <c r="A85" s="19" t="s">
        <v>69</v>
      </c>
      <c r="B85" s="20"/>
      <c r="C85" s="21"/>
      <c r="D85" s="22"/>
      <c r="F85" s="71"/>
    </row>
    <row r="86" spans="1:6" ht="16.5" thickBot="1">
      <c r="A86" s="19">
        <f>A84-A97</f>
        <v>1335385</v>
      </c>
      <c r="B86" s="20">
        <v>0.05</v>
      </c>
      <c r="C86" s="23">
        <f>(A86*B86)/365*90</f>
        <v>16463.650684931508</v>
      </c>
      <c r="D86" s="22">
        <f>C86+A97</f>
        <v>1351828.6506849315</v>
      </c>
      <c r="F86" s="71">
        <f>$A$98</f>
        <v>1335385</v>
      </c>
    </row>
    <row r="87" spans="1:6" ht="15.75">
      <c r="A87" s="24"/>
      <c r="B87" s="25" t="s">
        <v>23</v>
      </c>
      <c r="C87" s="26">
        <f>SUM(C80:C86)</f>
        <v>164635.02739726027</v>
      </c>
      <c r="D87" s="27"/>
      <c r="F87" s="72"/>
    </row>
    <row r="88" spans="1:6" ht="33.75" thickBot="1">
      <c r="A88" s="32"/>
      <c r="B88" s="33"/>
      <c r="C88" s="34" t="s">
        <v>70</v>
      </c>
      <c r="D88" s="35">
        <f>SUM(D80:D86)</f>
        <v>5506095.027397261</v>
      </c>
      <c r="F88" s="74">
        <f>SUM(F80:F86)</f>
        <v>5341480</v>
      </c>
    </row>
    <row r="89" spans="1:6" ht="16.5">
      <c r="A89" s="50"/>
      <c r="B89" s="51"/>
      <c r="C89" s="52"/>
      <c r="D89" s="53"/>
      <c r="F89" s="79"/>
    </row>
    <row r="90" spans="1:6" ht="16.5">
      <c r="A90" s="50"/>
      <c r="B90" s="51"/>
      <c r="C90" s="52"/>
      <c r="D90" s="53"/>
    </row>
    <row r="91" spans="1:6" ht="18">
      <c r="A91" s="404" t="s">
        <v>71</v>
      </c>
      <c r="B91" s="404"/>
      <c r="C91" s="404"/>
      <c r="D91" s="57">
        <f>SUM(D93:D95)</f>
        <v>37666319.48630137</v>
      </c>
      <c r="F91" s="78">
        <f>SUM(F15,F28,F40,F52,F64,F76,F88)</f>
        <v>32048780</v>
      </c>
    </row>
    <row r="92" spans="1:6" ht="16.5">
      <c r="A92" s="405" t="s">
        <v>72</v>
      </c>
      <c r="B92" s="405"/>
      <c r="C92" s="405"/>
      <c r="D92" s="58"/>
    </row>
    <row r="93" spans="1:6">
      <c r="A93" s="401" t="s">
        <v>73</v>
      </c>
      <c r="B93" s="401"/>
      <c r="C93" s="401"/>
      <c r="D93" s="59">
        <v>32048780</v>
      </c>
    </row>
    <row r="94" spans="1:6">
      <c r="A94" s="401" t="s">
        <v>74</v>
      </c>
      <c r="B94" s="401"/>
      <c r="C94" s="401"/>
      <c r="D94" s="59">
        <f>SUM(C14,C27,C39,C51,C63,C75,C87)</f>
        <v>5489344.3663013689</v>
      </c>
    </row>
    <row r="95" spans="1:6">
      <c r="A95" s="401" t="s">
        <v>75</v>
      </c>
      <c r="B95" s="401"/>
      <c r="C95" s="401"/>
      <c r="D95" s="59">
        <f>C14</f>
        <v>128195.12000000001</v>
      </c>
    </row>
    <row r="96" spans="1:6">
      <c r="A96" s="60" t="s">
        <v>76</v>
      </c>
      <c r="B96" s="61"/>
    </row>
    <row r="97" spans="1:4" ht="15.75">
      <c r="A97" s="62">
        <v>1335365</v>
      </c>
      <c r="B97" s="147" t="s">
        <v>168</v>
      </c>
    </row>
    <row r="98" spans="1:4" ht="15.75">
      <c r="A98" s="140">
        <v>1335385</v>
      </c>
      <c r="B98" s="148" t="s">
        <v>169</v>
      </c>
      <c r="D98" s="63">
        <f>SUM(D94:D95)</f>
        <v>5617539.486301369</v>
      </c>
    </row>
    <row r="100" spans="1:4" ht="15.75">
      <c r="A100" t="s">
        <v>77</v>
      </c>
      <c r="B100" s="64">
        <v>3.8600000000000002E-2</v>
      </c>
    </row>
    <row r="101" spans="1:4">
      <c r="A101" s="61" t="s">
        <v>78</v>
      </c>
      <c r="B101" s="65">
        <v>1.6578999999999999</v>
      </c>
    </row>
    <row r="102" spans="1:4">
      <c r="A102" s="61" t="s">
        <v>79</v>
      </c>
    </row>
    <row r="103" spans="1:4">
      <c r="B103" s="149">
        <f>3.86*165.79%</f>
        <v>6.3994939999999998</v>
      </c>
    </row>
  </sheetData>
  <mergeCells count="7">
    <mergeCell ref="A95:C95"/>
    <mergeCell ref="A2:F2"/>
    <mergeCell ref="A3:D3"/>
    <mergeCell ref="A91:C91"/>
    <mergeCell ref="A92:C92"/>
    <mergeCell ref="A93:C93"/>
    <mergeCell ref="A94:C9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opLeftCell="A22" zoomScale="90" zoomScaleNormal="90" workbookViewId="0">
      <selection activeCell="F32" sqref="F32"/>
    </sheetView>
  </sheetViews>
  <sheetFormatPr defaultRowHeight="14.25"/>
  <cols>
    <col min="1" max="1" width="5.5" customWidth="1"/>
    <col min="2" max="2" width="75.375" customWidth="1"/>
    <col min="3" max="3" width="5.875" bestFit="1" customWidth="1"/>
    <col min="4" max="4" width="20.375" customWidth="1"/>
    <col min="5" max="5" width="16.25" customWidth="1"/>
    <col min="6" max="6" width="17.625" customWidth="1"/>
    <col min="7" max="7" width="23.75" customWidth="1"/>
    <col min="8" max="8" width="13.5" customWidth="1"/>
    <col min="10" max="10" width="13.5" bestFit="1" customWidth="1"/>
  </cols>
  <sheetData>
    <row r="1" spans="1:9" ht="24" customHeight="1">
      <c r="A1" s="410" t="s">
        <v>155</v>
      </c>
      <c r="B1" s="410"/>
      <c r="C1" s="410"/>
      <c r="D1" s="410"/>
      <c r="E1" s="410"/>
      <c r="F1" s="410"/>
    </row>
    <row r="2" spans="1:9" ht="30">
      <c r="A2" s="3" t="s">
        <v>0</v>
      </c>
      <c r="B2" s="3" t="s">
        <v>8</v>
      </c>
      <c r="C2" s="3" t="s">
        <v>10</v>
      </c>
      <c r="D2" s="6" t="s">
        <v>139</v>
      </c>
      <c r="E2" s="6" t="s">
        <v>9</v>
      </c>
      <c r="F2" s="6" t="s">
        <v>136</v>
      </c>
      <c r="G2" s="162" t="s">
        <v>126</v>
      </c>
      <c r="H2" s="1"/>
    </row>
    <row r="3" spans="1:9" ht="21.75" customHeight="1">
      <c r="A3" s="406" t="s">
        <v>180</v>
      </c>
      <c r="B3" s="406"/>
      <c r="C3" s="160"/>
      <c r="D3" s="111">
        <v>40000000</v>
      </c>
      <c r="E3" s="111">
        <v>40000000</v>
      </c>
      <c r="F3" s="164">
        <v>39999836</v>
      </c>
      <c r="G3" s="106">
        <f>F3-8000000</f>
        <v>31999836</v>
      </c>
    </row>
    <row r="4" spans="1:9" ht="28.5">
      <c r="A4" s="2">
        <v>1</v>
      </c>
      <c r="B4" s="4" t="s">
        <v>182</v>
      </c>
      <c r="C4" s="9">
        <v>926</v>
      </c>
      <c r="D4" s="132">
        <v>12000000</v>
      </c>
      <c r="E4" s="132">
        <v>12000000</v>
      </c>
      <c r="F4" s="132">
        <v>12000000</v>
      </c>
      <c r="G4" s="106"/>
    </row>
    <row r="5" spans="1:9" ht="15">
      <c r="A5" s="2">
        <v>2</v>
      </c>
      <c r="B5" s="4" t="s">
        <v>181</v>
      </c>
      <c r="C5" s="9">
        <v>710</v>
      </c>
      <c r="D5" s="132">
        <v>28000000</v>
      </c>
      <c r="E5" s="132">
        <v>28000000</v>
      </c>
      <c r="F5" s="132">
        <v>27999836</v>
      </c>
      <c r="G5" s="106"/>
    </row>
    <row r="7" spans="1:9" ht="19.5" customHeight="1">
      <c r="A7" s="407" t="s">
        <v>154</v>
      </c>
      <c r="B7" s="407"/>
      <c r="C7" s="407"/>
      <c r="D7" s="407"/>
      <c r="E7" s="407"/>
      <c r="F7" s="407"/>
    </row>
    <row r="8" spans="1:9" ht="15">
      <c r="A8" s="1"/>
      <c r="B8" s="112" t="s">
        <v>130</v>
      </c>
      <c r="C8" s="1"/>
      <c r="D8" s="1"/>
      <c r="E8" s="1"/>
    </row>
    <row r="9" spans="1:9" ht="30" customHeight="1">
      <c r="A9" s="3" t="s">
        <v>0</v>
      </c>
      <c r="B9" s="3" t="s">
        <v>8</v>
      </c>
      <c r="C9" s="3" t="s">
        <v>10</v>
      </c>
      <c r="D9" s="6" t="s">
        <v>139</v>
      </c>
      <c r="E9" s="6" t="s">
        <v>137</v>
      </c>
      <c r="F9" s="6" t="s">
        <v>136</v>
      </c>
      <c r="G9" s="162"/>
      <c r="H9" s="1"/>
    </row>
    <row r="10" spans="1:9" ht="30" customHeight="1">
      <c r="A10" s="408" t="s">
        <v>134</v>
      </c>
      <c r="B10" s="409"/>
      <c r="C10" s="3"/>
      <c r="D10" s="113">
        <f>SUM(D11:D18)</f>
        <v>351000000</v>
      </c>
      <c r="E10" s="113">
        <f>SUM(E11:E18)</f>
        <v>308332921</v>
      </c>
      <c r="F10" s="135">
        <f>SUM(F11:F18)</f>
        <v>141774707.77000001</v>
      </c>
      <c r="G10" s="110"/>
    </row>
    <row r="11" spans="1:9" ht="15">
      <c r="A11" s="2">
        <v>1</v>
      </c>
      <c r="B11" s="4" t="s">
        <v>3</v>
      </c>
      <c r="C11" s="9">
        <v>921</v>
      </c>
      <c r="D11" s="132">
        <v>88000000</v>
      </c>
      <c r="E11" s="132">
        <v>12000000</v>
      </c>
      <c r="F11" s="145">
        <v>536930.09</v>
      </c>
      <c r="H11" s="84"/>
      <c r="I11" s="84"/>
    </row>
    <row r="12" spans="1:9" ht="28.5">
      <c r="A12" s="2">
        <v>2</v>
      </c>
      <c r="B12" s="4" t="s">
        <v>2</v>
      </c>
      <c r="C12" s="9">
        <v>926</v>
      </c>
      <c r="D12" s="132">
        <v>145200000</v>
      </c>
      <c r="E12" s="132">
        <v>145200000</v>
      </c>
      <c r="F12" s="145">
        <v>88067020.150000006</v>
      </c>
    </row>
    <row r="13" spans="1:9" ht="15">
      <c r="A13" s="2">
        <v>3</v>
      </c>
      <c r="B13" s="4" t="s">
        <v>4</v>
      </c>
      <c r="C13" s="9">
        <v>921</v>
      </c>
      <c r="D13" s="132">
        <v>6632921</v>
      </c>
      <c r="E13" s="132">
        <v>6632921</v>
      </c>
      <c r="F13" s="145">
        <v>282019.46000000002</v>
      </c>
    </row>
    <row r="14" spans="1:9" ht="28.5">
      <c r="A14" s="2">
        <v>4</v>
      </c>
      <c r="B14" s="5" t="s">
        <v>5</v>
      </c>
      <c r="C14" s="9">
        <v>710</v>
      </c>
      <c r="D14" s="132">
        <v>34000000</v>
      </c>
      <c r="E14" s="132">
        <v>10000000</v>
      </c>
      <c r="F14" s="145">
        <v>10000000</v>
      </c>
    </row>
    <row r="15" spans="1:9" ht="28.5">
      <c r="A15" s="2">
        <v>5</v>
      </c>
      <c r="B15" s="5" t="s">
        <v>6</v>
      </c>
      <c r="C15" s="9">
        <v>921</v>
      </c>
      <c r="D15" s="132">
        <v>4065671</v>
      </c>
      <c r="E15" s="132">
        <v>1500000</v>
      </c>
      <c r="F15" s="145">
        <v>0</v>
      </c>
    </row>
    <row r="16" spans="1:9" ht="42.75">
      <c r="A16" s="2">
        <v>6</v>
      </c>
      <c r="B16" s="5" t="s">
        <v>7</v>
      </c>
      <c r="C16" s="9">
        <v>921</v>
      </c>
      <c r="D16" s="132">
        <v>3101408</v>
      </c>
      <c r="E16" s="132">
        <v>1000000</v>
      </c>
      <c r="F16" s="145">
        <v>503613.11</v>
      </c>
      <c r="G16" s="38">
        <f>SUM(F11,F13,F14,F15,F16)</f>
        <v>11322562.66</v>
      </c>
    </row>
    <row r="17" spans="1:8" ht="18.75" customHeight="1">
      <c r="A17" s="2">
        <v>7</v>
      </c>
      <c r="B17" s="5" t="s">
        <v>1</v>
      </c>
      <c r="C17" s="9">
        <v>600</v>
      </c>
      <c r="D17" s="132">
        <v>70000000</v>
      </c>
      <c r="E17" s="132">
        <v>70000000</v>
      </c>
      <c r="F17" s="145">
        <v>42385124.960000001</v>
      </c>
    </row>
    <row r="18" spans="1:8" ht="18" customHeight="1">
      <c r="A18" s="2">
        <v>8</v>
      </c>
      <c r="B18" s="5" t="s">
        <v>12</v>
      </c>
      <c r="C18" s="9">
        <v>600</v>
      </c>
      <c r="D18" s="132">
        <v>0</v>
      </c>
      <c r="E18" s="132">
        <v>62000000</v>
      </c>
      <c r="F18" s="145">
        <v>0</v>
      </c>
      <c r="G18" s="163" t="s">
        <v>127</v>
      </c>
      <c r="H18" s="161"/>
    </row>
    <row r="19" spans="1:8" ht="11.25" customHeight="1">
      <c r="A19" s="114"/>
      <c r="B19" s="115"/>
      <c r="C19" s="116"/>
      <c r="D19" s="117"/>
      <c r="E19" s="117"/>
      <c r="F19" s="117"/>
      <c r="G19" s="38">
        <f>F10</f>
        <v>141774707.77000001</v>
      </c>
    </row>
    <row r="20" spans="1:8" ht="7.5" customHeight="1">
      <c r="A20" s="1"/>
      <c r="F20" s="1"/>
    </row>
    <row r="21" spans="1:8" ht="22.5" hidden="1" customHeight="1">
      <c r="C21" s="7"/>
      <c r="D21" s="10" t="s">
        <v>138</v>
      </c>
      <c r="E21" s="8">
        <f>E10-D10</f>
        <v>-42667079</v>
      </c>
      <c r="F21" s="8">
        <f>F10-E10</f>
        <v>-166558213.22999999</v>
      </c>
    </row>
    <row r="22" spans="1:8" ht="10.5" customHeight="1"/>
    <row r="23" spans="1:8" ht="18.75">
      <c r="A23" s="407" t="s">
        <v>153</v>
      </c>
      <c r="B23" s="407"/>
      <c r="C23" s="407"/>
      <c r="D23" s="407"/>
      <c r="E23" s="407"/>
      <c r="F23" s="407"/>
    </row>
    <row r="24" spans="1:8" ht="15">
      <c r="A24" s="1"/>
      <c r="B24" s="112" t="s">
        <v>130</v>
      </c>
      <c r="C24" s="1"/>
      <c r="D24" s="1"/>
      <c r="E24" s="1"/>
    </row>
    <row r="25" spans="1:8" ht="30">
      <c r="A25" s="3" t="s">
        <v>0</v>
      </c>
      <c r="B25" s="3" t="s">
        <v>8</v>
      </c>
      <c r="C25" s="3" t="s">
        <v>10</v>
      </c>
      <c r="D25" s="6" t="s">
        <v>13</v>
      </c>
      <c r="E25" s="6" t="s">
        <v>9</v>
      </c>
      <c r="F25" s="6" t="s">
        <v>11</v>
      </c>
      <c r="G25" s="163" t="s">
        <v>128</v>
      </c>
      <c r="H25" s="1"/>
    </row>
    <row r="26" spans="1:8" ht="20.25" customHeight="1">
      <c r="A26" s="408" t="s">
        <v>135</v>
      </c>
      <c r="B26" s="409"/>
      <c r="C26" s="9"/>
      <c r="D26" s="111">
        <f>SUM(D27:D33)</f>
        <v>180000000</v>
      </c>
      <c r="E26" s="111">
        <f>SUM(E27:E33)</f>
        <v>356300089</v>
      </c>
      <c r="F26" s="165">
        <f>SUM(F27:F33)</f>
        <v>196643833</v>
      </c>
      <c r="G26" s="106">
        <f>E26-F26</f>
        <v>159656256</v>
      </c>
    </row>
    <row r="27" spans="1:8" ht="36" customHeight="1">
      <c r="A27" s="157">
        <v>1</v>
      </c>
      <c r="B27" s="158" t="s">
        <v>175</v>
      </c>
      <c r="C27" s="159">
        <v>926</v>
      </c>
      <c r="D27" s="132">
        <f>133873939</f>
        <v>133873939</v>
      </c>
      <c r="E27" s="132">
        <f>133873939+88148089</f>
        <v>222022028</v>
      </c>
      <c r="F27" s="333">
        <v>90000000</v>
      </c>
      <c r="G27" s="36"/>
    </row>
    <row r="28" spans="1:8" ht="20.25" customHeight="1">
      <c r="A28" s="2">
        <v>2</v>
      </c>
      <c r="B28" s="4" t="s">
        <v>3</v>
      </c>
      <c r="C28" s="9">
        <v>921</v>
      </c>
      <c r="D28" s="132">
        <v>40488341</v>
      </c>
      <c r="E28" s="132">
        <f>40488341-1000000-662163</f>
        <v>38826178</v>
      </c>
      <c r="F28" s="333">
        <v>8413070</v>
      </c>
    </row>
    <row r="29" spans="1:8" ht="42.75">
      <c r="A29" s="2">
        <v>3</v>
      </c>
      <c r="B29" s="4" t="s">
        <v>174</v>
      </c>
      <c r="C29" s="9">
        <v>921</v>
      </c>
      <c r="D29" s="132">
        <v>0</v>
      </c>
      <c r="E29" s="132">
        <v>1000000</v>
      </c>
      <c r="F29" s="333">
        <v>2071063</v>
      </c>
      <c r="G29" s="151" t="s">
        <v>178</v>
      </c>
    </row>
    <row r="30" spans="1:8" ht="42.75">
      <c r="A30" s="2">
        <v>4</v>
      </c>
      <c r="B30" s="4" t="s">
        <v>290</v>
      </c>
      <c r="C30" s="9">
        <v>921</v>
      </c>
      <c r="D30" s="132">
        <v>0</v>
      </c>
      <c r="E30" s="132">
        <v>662163</v>
      </c>
      <c r="F30" s="333">
        <v>2362163</v>
      </c>
      <c r="G30" s="151" t="s">
        <v>177</v>
      </c>
    </row>
    <row r="31" spans="1:8" ht="15">
      <c r="A31" s="2">
        <v>5</v>
      </c>
      <c r="B31" s="4" t="s">
        <v>176</v>
      </c>
      <c r="C31" s="9">
        <v>921</v>
      </c>
      <c r="D31" s="132">
        <v>5637720</v>
      </c>
      <c r="E31" s="132">
        <v>5637720</v>
      </c>
      <c r="F31" s="333">
        <v>5645537</v>
      </c>
    </row>
    <row r="32" spans="1:8" ht="28.5">
      <c r="A32" s="2">
        <v>6</v>
      </c>
      <c r="B32" s="4" t="s">
        <v>162</v>
      </c>
      <c r="C32" s="9">
        <v>600</v>
      </c>
      <c r="D32" s="132">
        <v>0</v>
      </c>
      <c r="E32" s="132">
        <v>57152000</v>
      </c>
      <c r="F32" s="333">
        <v>57152000</v>
      </c>
      <c r="G32" s="105">
        <f>F26+F10+F3</f>
        <v>378418376.76999998</v>
      </c>
    </row>
    <row r="33" spans="1:10" ht="113.25" customHeight="1">
      <c r="A33" s="2">
        <v>7</v>
      </c>
      <c r="B33" s="5" t="s">
        <v>179</v>
      </c>
      <c r="C33" s="9">
        <v>600</v>
      </c>
      <c r="D33" s="132">
        <v>0</v>
      </c>
      <c r="E33" s="132">
        <v>31000000</v>
      </c>
      <c r="F33" s="333">
        <v>31000000</v>
      </c>
      <c r="G33" s="105"/>
      <c r="H33" s="63"/>
      <c r="J33" s="63"/>
    </row>
    <row r="34" spans="1:10" ht="15.75" customHeight="1">
      <c r="A34" s="152"/>
      <c r="B34" s="153"/>
      <c r="C34" s="154"/>
      <c r="D34" s="155"/>
      <c r="E34" s="155"/>
      <c r="F34" s="155"/>
      <c r="G34" s="105"/>
    </row>
    <row r="35" spans="1:10" ht="18.75">
      <c r="A35" s="407" t="s">
        <v>152</v>
      </c>
      <c r="B35" s="407"/>
      <c r="C35" s="407"/>
      <c r="D35" s="407"/>
      <c r="E35" s="407"/>
      <c r="F35" s="407"/>
    </row>
    <row r="36" spans="1:10" ht="15">
      <c r="A36" s="1"/>
      <c r="B36" s="112" t="s">
        <v>130</v>
      </c>
      <c r="C36" s="1"/>
      <c r="D36" s="1"/>
      <c r="E36" s="1"/>
    </row>
    <row r="37" spans="1:10" ht="30">
      <c r="A37" s="3" t="s">
        <v>0</v>
      </c>
      <c r="B37" s="3" t="s">
        <v>8</v>
      </c>
      <c r="C37" s="3" t="s">
        <v>10</v>
      </c>
      <c r="D37" s="133" t="s">
        <v>147</v>
      </c>
      <c r="E37" s="6" t="s">
        <v>9</v>
      </c>
      <c r="F37" s="6" t="s">
        <v>11</v>
      </c>
    </row>
    <row r="38" spans="1:10" ht="15">
      <c r="A38" s="408" t="s">
        <v>146</v>
      </c>
      <c r="B38" s="409"/>
      <c r="C38" s="9"/>
      <c r="D38" s="111">
        <f>SUM(D40:D44)</f>
        <v>0</v>
      </c>
      <c r="E38" s="111">
        <f>SUM(E39:E45)</f>
        <v>302751000</v>
      </c>
      <c r="F38" s="165">
        <f>SUM(F39:F45)</f>
        <v>302751000</v>
      </c>
      <c r="G38" s="63">
        <f>E38-F38</f>
        <v>0</v>
      </c>
    </row>
    <row r="39" spans="1:10" ht="31.5" customHeight="1">
      <c r="A39" s="2" t="s">
        <v>283</v>
      </c>
      <c r="B39" s="4" t="s">
        <v>175</v>
      </c>
      <c r="C39" s="9">
        <v>926</v>
      </c>
      <c r="D39" s="132">
        <v>0</v>
      </c>
      <c r="E39" s="132">
        <v>147022028</v>
      </c>
      <c r="F39" s="166">
        <f t="shared" ref="F39:F45" si="0">E39</f>
        <v>147022028</v>
      </c>
    </row>
    <row r="40" spans="1:10" ht="28.5">
      <c r="A40" s="2" t="s">
        <v>284</v>
      </c>
      <c r="B40" s="4" t="s">
        <v>163</v>
      </c>
      <c r="C40" s="9">
        <v>921</v>
      </c>
      <c r="D40" s="132">
        <v>0</v>
      </c>
      <c r="E40" s="132">
        <f>26151594+17400582</f>
        <v>43552176</v>
      </c>
      <c r="F40" s="166">
        <f t="shared" si="0"/>
        <v>43552176</v>
      </c>
    </row>
    <row r="41" spans="1:10" ht="34.5" customHeight="1">
      <c r="A41" s="2" t="s">
        <v>285</v>
      </c>
      <c r="B41" s="4" t="s">
        <v>164</v>
      </c>
      <c r="C41" s="9">
        <v>921</v>
      </c>
      <c r="D41" s="132">
        <v>0</v>
      </c>
      <c r="E41" s="132">
        <v>6710587</v>
      </c>
      <c r="F41" s="166">
        <f t="shared" si="0"/>
        <v>6710587</v>
      </c>
    </row>
    <row r="42" spans="1:10" ht="15">
      <c r="A42" s="2" t="s">
        <v>286</v>
      </c>
      <c r="B42" s="141" t="s">
        <v>176</v>
      </c>
      <c r="C42" s="3">
        <v>600</v>
      </c>
      <c r="D42" s="318">
        <v>0</v>
      </c>
      <c r="E42" s="144">
        <f>11774993</f>
        <v>11774993</v>
      </c>
      <c r="F42" s="316">
        <f t="shared" ref="F42" si="1">E42</f>
        <v>11774993</v>
      </c>
    </row>
    <row r="43" spans="1:10" ht="77.25" customHeight="1">
      <c r="A43" s="2" t="s">
        <v>287</v>
      </c>
      <c r="B43" s="317" t="s">
        <v>281</v>
      </c>
      <c r="C43" s="3">
        <v>851</v>
      </c>
      <c r="D43" s="132">
        <v>0</v>
      </c>
      <c r="E43" s="132">
        <v>13616090</v>
      </c>
      <c r="F43" s="166">
        <f t="shared" si="0"/>
        <v>13616090</v>
      </c>
    </row>
    <row r="44" spans="1:10" ht="33.75" customHeight="1">
      <c r="A44" s="2" t="s">
        <v>288</v>
      </c>
      <c r="B44" s="323" t="s">
        <v>282</v>
      </c>
      <c r="C44" s="3">
        <v>854</v>
      </c>
      <c r="D44" s="318">
        <v>0</v>
      </c>
      <c r="E44" s="144">
        <v>2130000</v>
      </c>
      <c r="F44" s="316">
        <f t="shared" si="0"/>
        <v>2130000</v>
      </c>
    </row>
    <row r="45" spans="1:10" ht="18" customHeight="1">
      <c r="A45" s="2" t="s">
        <v>307</v>
      </c>
      <c r="B45" s="323" t="s">
        <v>289</v>
      </c>
      <c r="C45" s="3">
        <v>600</v>
      </c>
      <c r="D45" s="318">
        <v>0</v>
      </c>
      <c r="E45" s="144">
        <f>71000000+7074773-130000+353</f>
        <v>77945126</v>
      </c>
      <c r="F45" s="316">
        <f t="shared" si="0"/>
        <v>77945126</v>
      </c>
    </row>
    <row r="46" spans="1:10" ht="15">
      <c r="A46" s="152"/>
      <c r="B46" s="168"/>
      <c r="C46" s="169"/>
      <c r="D46" s="170"/>
      <c r="E46" s="171"/>
      <c r="F46" s="171"/>
    </row>
    <row r="47" spans="1:10" ht="18.75">
      <c r="A47" s="407" t="s">
        <v>157</v>
      </c>
      <c r="B47" s="407"/>
      <c r="C47" s="407"/>
      <c r="D47" s="407"/>
      <c r="E47" s="407"/>
      <c r="F47" s="407"/>
    </row>
    <row r="48" spans="1:10" ht="18.75">
      <c r="A48" s="142"/>
      <c r="B48" s="112" t="s">
        <v>130</v>
      </c>
      <c r="C48" s="142"/>
      <c r="D48" s="142"/>
      <c r="E48" s="142"/>
      <c r="F48" s="142"/>
    </row>
    <row r="49" spans="1:6" ht="30">
      <c r="A49" s="3" t="s">
        <v>0</v>
      </c>
      <c r="B49" s="3" t="s">
        <v>8</v>
      </c>
      <c r="C49" s="3" t="s">
        <v>10</v>
      </c>
      <c r="D49" s="133" t="s">
        <v>147</v>
      </c>
      <c r="E49" s="6" t="s">
        <v>9</v>
      </c>
      <c r="F49" s="6" t="s">
        <v>11</v>
      </c>
    </row>
    <row r="50" spans="1:6" ht="15">
      <c r="A50" s="406" t="s">
        <v>156</v>
      </c>
      <c r="B50" s="406"/>
      <c r="C50" s="9"/>
      <c r="D50" s="111">
        <f>SUM(D51:D54)</f>
        <v>0</v>
      </c>
      <c r="E50" s="111">
        <f>SUM(E51:E55)</f>
        <v>93052137</v>
      </c>
      <c r="F50" s="111">
        <f>SUM(F51:F55)</f>
        <v>93052137</v>
      </c>
    </row>
    <row r="51" spans="1:6" ht="28.5">
      <c r="A51" s="2" t="s">
        <v>283</v>
      </c>
      <c r="B51" s="141" t="s">
        <v>151</v>
      </c>
      <c r="C51" s="3">
        <v>600</v>
      </c>
      <c r="D51" s="144">
        <v>0</v>
      </c>
      <c r="E51" s="144">
        <v>15000000</v>
      </c>
      <c r="F51" s="144">
        <v>15000000</v>
      </c>
    </row>
    <row r="52" spans="1:6" ht="15">
      <c r="A52" s="2" t="s">
        <v>284</v>
      </c>
      <c r="B52" s="4" t="s">
        <v>3</v>
      </c>
      <c r="C52" s="146">
        <v>921</v>
      </c>
      <c r="D52" s="144">
        <v>0</v>
      </c>
      <c r="E52" s="144">
        <f>1000000+41501472</f>
        <v>42501472</v>
      </c>
      <c r="F52" s="144">
        <f>E52</f>
        <v>42501472</v>
      </c>
    </row>
    <row r="53" spans="1:6" ht="15">
      <c r="A53" s="2" t="s">
        <v>285</v>
      </c>
      <c r="B53" s="141" t="s">
        <v>170</v>
      </c>
      <c r="C53" s="3">
        <v>600</v>
      </c>
      <c r="D53" s="144">
        <v>0</v>
      </c>
      <c r="E53" s="144">
        <v>32048780</v>
      </c>
      <c r="F53" s="144">
        <v>32048780</v>
      </c>
    </row>
    <row r="54" spans="1:6" ht="28.5">
      <c r="A54" s="2" t="s">
        <v>286</v>
      </c>
      <c r="B54" s="141" t="s">
        <v>306</v>
      </c>
      <c r="C54" s="3">
        <v>921</v>
      </c>
      <c r="D54" s="144">
        <v>0</v>
      </c>
      <c r="E54" s="144">
        <v>947525</v>
      </c>
      <c r="F54" s="144">
        <f>E54</f>
        <v>947525</v>
      </c>
    </row>
    <row r="55" spans="1:6" ht="15">
      <c r="A55" s="2" t="s">
        <v>287</v>
      </c>
      <c r="B55" s="4" t="s">
        <v>176</v>
      </c>
      <c r="C55" s="3">
        <v>921</v>
      </c>
      <c r="D55" s="144">
        <v>0</v>
      </c>
      <c r="E55" s="144">
        <v>2554360</v>
      </c>
      <c r="F55" s="144">
        <f>E55</f>
        <v>2554360</v>
      </c>
    </row>
    <row r="56" spans="1:6" ht="20.25" customHeight="1">
      <c r="A56" s="152"/>
      <c r="B56" s="153"/>
      <c r="C56" s="169"/>
      <c r="D56" s="332"/>
      <c r="E56" s="332"/>
      <c r="F56" s="332"/>
    </row>
    <row r="57" spans="1:6" ht="18.75">
      <c r="A57" s="407" t="s">
        <v>165</v>
      </c>
      <c r="B57" s="407"/>
      <c r="C57" s="407"/>
      <c r="D57" s="407"/>
      <c r="E57" s="407"/>
      <c r="F57" s="407"/>
    </row>
    <row r="58" spans="1:6" ht="18.75">
      <c r="A58" s="150"/>
      <c r="B58" s="112" t="s">
        <v>130</v>
      </c>
      <c r="C58" s="150"/>
      <c r="D58" s="150"/>
      <c r="E58" s="150"/>
      <c r="F58" s="150"/>
    </row>
    <row r="59" spans="1:6" ht="30">
      <c r="A59" s="3" t="s">
        <v>0</v>
      </c>
      <c r="B59" s="3" t="s">
        <v>8</v>
      </c>
      <c r="C59" s="3" t="s">
        <v>10</v>
      </c>
      <c r="D59" s="133" t="s">
        <v>147</v>
      </c>
      <c r="E59" s="6" t="s">
        <v>9</v>
      </c>
      <c r="F59" s="6" t="s">
        <v>11</v>
      </c>
    </row>
    <row r="60" spans="1:6" ht="15">
      <c r="A60" s="406" t="s">
        <v>166</v>
      </c>
      <c r="B60" s="406"/>
      <c r="C60" s="9"/>
      <c r="D60" s="111">
        <f>SUM(D61:D61)</f>
        <v>0</v>
      </c>
      <c r="E60" s="111">
        <f>SUM(E61:E61)</f>
        <v>32048780</v>
      </c>
      <c r="F60" s="111">
        <f>SUM(F61:F61)</f>
        <v>32048780</v>
      </c>
    </row>
    <row r="61" spans="1:6" ht="15">
      <c r="A61" s="2">
        <v>1</v>
      </c>
      <c r="B61" s="141" t="s">
        <v>170</v>
      </c>
      <c r="C61" s="3">
        <v>600</v>
      </c>
      <c r="D61" s="144">
        <v>0</v>
      </c>
      <c r="E61" s="144">
        <v>32048780</v>
      </c>
      <c r="F61" s="144">
        <v>32048780</v>
      </c>
    </row>
  </sheetData>
  <mergeCells count="12">
    <mergeCell ref="A60:B60"/>
    <mergeCell ref="A47:F47"/>
    <mergeCell ref="A50:B50"/>
    <mergeCell ref="A38:B38"/>
    <mergeCell ref="A1:F1"/>
    <mergeCell ref="A23:F23"/>
    <mergeCell ref="A26:B26"/>
    <mergeCell ref="A10:B10"/>
    <mergeCell ref="A57:F57"/>
    <mergeCell ref="A35:F35"/>
    <mergeCell ref="A7:F7"/>
    <mergeCell ref="A3:B3"/>
  </mergeCells>
  <printOptions horizontalCentered="1"/>
  <pageMargins left="0.27559055118110237" right="0.15748031496062992" top="0.19685039370078741" bottom="0.35433070866141736" header="0.15748031496062992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zoomScaleNormal="100" workbookViewId="0">
      <selection sqref="A1:M62"/>
    </sheetView>
  </sheetViews>
  <sheetFormatPr defaultRowHeight="15"/>
  <cols>
    <col min="1" max="1" width="3.5" style="172" customWidth="1"/>
    <col min="2" max="2" width="2.75" style="172" customWidth="1"/>
    <col min="3" max="3" width="67.5" style="172" customWidth="1"/>
    <col min="4" max="4" width="13.625" style="172" customWidth="1"/>
    <col min="5" max="5" width="14.125" customWidth="1"/>
    <col min="6" max="12" width="12.875" customWidth="1"/>
    <col min="13" max="13" width="13.375" customWidth="1"/>
    <col min="257" max="257" width="3.5" customWidth="1"/>
    <col min="258" max="258" width="2.75" customWidth="1"/>
    <col min="259" max="259" width="67.5" customWidth="1"/>
    <col min="260" max="260" width="12.375" customWidth="1"/>
    <col min="261" max="268" width="12.875" customWidth="1"/>
    <col min="269" max="269" width="13.375" customWidth="1"/>
    <col min="513" max="513" width="3.5" customWidth="1"/>
    <col min="514" max="514" width="2.75" customWidth="1"/>
    <col min="515" max="515" width="67.5" customWidth="1"/>
    <col min="516" max="516" width="12.375" customWidth="1"/>
    <col min="517" max="524" width="12.875" customWidth="1"/>
    <col min="525" max="525" width="13.375" customWidth="1"/>
    <col min="769" max="769" width="3.5" customWidth="1"/>
    <col min="770" max="770" width="2.75" customWidth="1"/>
    <col min="771" max="771" width="67.5" customWidth="1"/>
    <col min="772" max="772" width="12.375" customWidth="1"/>
    <col min="773" max="780" width="12.875" customWidth="1"/>
    <col min="781" max="781" width="13.375" customWidth="1"/>
    <col min="1025" max="1025" width="3.5" customWidth="1"/>
    <col min="1026" max="1026" width="2.75" customWidth="1"/>
    <col min="1027" max="1027" width="67.5" customWidth="1"/>
    <col min="1028" max="1028" width="12.375" customWidth="1"/>
    <col min="1029" max="1036" width="12.875" customWidth="1"/>
    <col min="1037" max="1037" width="13.375" customWidth="1"/>
    <col min="1281" max="1281" width="3.5" customWidth="1"/>
    <col min="1282" max="1282" width="2.75" customWidth="1"/>
    <col min="1283" max="1283" width="67.5" customWidth="1"/>
    <col min="1284" max="1284" width="12.375" customWidth="1"/>
    <col min="1285" max="1292" width="12.875" customWidth="1"/>
    <col min="1293" max="1293" width="13.375" customWidth="1"/>
    <col min="1537" max="1537" width="3.5" customWidth="1"/>
    <col min="1538" max="1538" width="2.75" customWidth="1"/>
    <col min="1539" max="1539" width="67.5" customWidth="1"/>
    <col min="1540" max="1540" width="12.375" customWidth="1"/>
    <col min="1541" max="1548" width="12.875" customWidth="1"/>
    <col min="1549" max="1549" width="13.375" customWidth="1"/>
    <col min="1793" max="1793" width="3.5" customWidth="1"/>
    <col min="1794" max="1794" width="2.75" customWidth="1"/>
    <col min="1795" max="1795" width="67.5" customWidth="1"/>
    <col min="1796" max="1796" width="12.375" customWidth="1"/>
    <col min="1797" max="1804" width="12.875" customWidth="1"/>
    <col min="1805" max="1805" width="13.375" customWidth="1"/>
    <col min="2049" max="2049" width="3.5" customWidth="1"/>
    <col min="2050" max="2050" width="2.75" customWidth="1"/>
    <col min="2051" max="2051" width="67.5" customWidth="1"/>
    <col min="2052" max="2052" width="12.375" customWidth="1"/>
    <col min="2053" max="2060" width="12.875" customWidth="1"/>
    <col min="2061" max="2061" width="13.375" customWidth="1"/>
    <col min="2305" max="2305" width="3.5" customWidth="1"/>
    <col min="2306" max="2306" width="2.75" customWidth="1"/>
    <col min="2307" max="2307" width="67.5" customWidth="1"/>
    <col min="2308" max="2308" width="12.375" customWidth="1"/>
    <col min="2309" max="2316" width="12.875" customWidth="1"/>
    <col min="2317" max="2317" width="13.375" customWidth="1"/>
    <col min="2561" max="2561" width="3.5" customWidth="1"/>
    <col min="2562" max="2562" width="2.75" customWidth="1"/>
    <col min="2563" max="2563" width="67.5" customWidth="1"/>
    <col min="2564" max="2564" width="12.375" customWidth="1"/>
    <col min="2565" max="2572" width="12.875" customWidth="1"/>
    <col min="2573" max="2573" width="13.375" customWidth="1"/>
    <col min="2817" max="2817" width="3.5" customWidth="1"/>
    <col min="2818" max="2818" width="2.75" customWidth="1"/>
    <col min="2819" max="2819" width="67.5" customWidth="1"/>
    <col min="2820" max="2820" width="12.375" customWidth="1"/>
    <col min="2821" max="2828" width="12.875" customWidth="1"/>
    <col min="2829" max="2829" width="13.375" customWidth="1"/>
    <col min="3073" max="3073" width="3.5" customWidth="1"/>
    <col min="3074" max="3074" width="2.75" customWidth="1"/>
    <col min="3075" max="3075" width="67.5" customWidth="1"/>
    <col min="3076" max="3076" width="12.375" customWidth="1"/>
    <col min="3077" max="3084" width="12.875" customWidth="1"/>
    <col min="3085" max="3085" width="13.375" customWidth="1"/>
    <col min="3329" max="3329" width="3.5" customWidth="1"/>
    <col min="3330" max="3330" width="2.75" customWidth="1"/>
    <col min="3331" max="3331" width="67.5" customWidth="1"/>
    <col min="3332" max="3332" width="12.375" customWidth="1"/>
    <col min="3333" max="3340" width="12.875" customWidth="1"/>
    <col min="3341" max="3341" width="13.375" customWidth="1"/>
    <col min="3585" max="3585" width="3.5" customWidth="1"/>
    <col min="3586" max="3586" width="2.75" customWidth="1"/>
    <col min="3587" max="3587" width="67.5" customWidth="1"/>
    <col min="3588" max="3588" width="12.375" customWidth="1"/>
    <col min="3589" max="3596" width="12.875" customWidth="1"/>
    <col min="3597" max="3597" width="13.375" customWidth="1"/>
    <col min="3841" max="3841" width="3.5" customWidth="1"/>
    <col min="3842" max="3842" width="2.75" customWidth="1"/>
    <col min="3843" max="3843" width="67.5" customWidth="1"/>
    <col min="3844" max="3844" width="12.375" customWidth="1"/>
    <col min="3845" max="3852" width="12.875" customWidth="1"/>
    <col min="3853" max="3853" width="13.375" customWidth="1"/>
    <col min="4097" max="4097" width="3.5" customWidth="1"/>
    <col min="4098" max="4098" width="2.75" customWidth="1"/>
    <col min="4099" max="4099" width="67.5" customWidth="1"/>
    <col min="4100" max="4100" width="12.375" customWidth="1"/>
    <col min="4101" max="4108" width="12.875" customWidth="1"/>
    <col min="4109" max="4109" width="13.375" customWidth="1"/>
    <col min="4353" max="4353" width="3.5" customWidth="1"/>
    <col min="4354" max="4354" width="2.75" customWidth="1"/>
    <col min="4355" max="4355" width="67.5" customWidth="1"/>
    <col min="4356" max="4356" width="12.375" customWidth="1"/>
    <col min="4357" max="4364" width="12.875" customWidth="1"/>
    <col min="4365" max="4365" width="13.375" customWidth="1"/>
    <col min="4609" max="4609" width="3.5" customWidth="1"/>
    <col min="4610" max="4610" width="2.75" customWidth="1"/>
    <col min="4611" max="4611" width="67.5" customWidth="1"/>
    <col min="4612" max="4612" width="12.375" customWidth="1"/>
    <col min="4613" max="4620" width="12.875" customWidth="1"/>
    <col min="4621" max="4621" width="13.375" customWidth="1"/>
    <col min="4865" max="4865" width="3.5" customWidth="1"/>
    <col min="4866" max="4866" width="2.75" customWidth="1"/>
    <col min="4867" max="4867" width="67.5" customWidth="1"/>
    <col min="4868" max="4868" width="12.375" customWidth="1"/>
    <col min="4869" max="4876" width="12.875" customWidth="1"/>
    <col min="4877" max="4877" width="13.375" customWidth="1"/>
    <col min="5121" max="5121" width="3.5" customWidth="1"/>
    <col min="5122" max="5122" width="2.75" customWidth="1"/>
    <col min="5123" max="5123" width="67.5" customWidth="1"/>
    <col min="5124" max="5124" width="12.375" customWidth="1"/>
    <col min="5125" max="5132" width="12.875" customWidth="1"/>
    <col min="5133" max="5133" width="13.375" customWidth="1"/>
    <col min="5377" max="5377" width="3.5" customWidth="1"/>
    <col min="5378" max="5378" width="2.75" customWidth="1"/>
    <col min="5379" max="5379" width="67.5" customWidth="1"/>
    <col min="5380" max="5380" width="12.375" customWidth="1"/>
    <col min="5381" max="5388" width="12.875" customWidth="1"/>
    <col min="5389" max="5389" width="13.375" customWidth="1"/>
    <col min="5633" max="5633" width="3.5" customWidth="1"/>
    <col min="5634" max="5634" width="2.75" customWidth="1"/>
    <col min="5635" max="5635" width="67.5" customWidth="1"/>
    <col min="5636" max="5636" width="12.375" customWidth="1"/>
    <col min="5637" max="5644" width="12.875" customWidth="1"/>
    <col min="5645" max="5645" width="13.375" customWidth="1"/>
    <col min="5889" max="5889" width="3.5" customWidth="1"/>
    <col min="5890" max="5890" width="2.75" customWidth="1"/>
    <col min="5891" max="5891" width="67.5" customWidth="1"/>
    <col min="5892" max="5892" width="12.375" customWidth="1"/>
    <col min="5893" max="5900" width="12.875" customWidth="1"/>
    <col min="5901" max="5901" width="13.375" customWidth="1"/>
    <col min="6145" max="6145" width="3.5" customWidth="1"/>
    <col min="6146" max="6146" width="2.75" customWidth="1"/>
    <col min="6147" max="6147" width="67.5" customWidth="1"/>
    <col min="6148" max="6148" width="12.375" customWidth="1"/>
    <col min="6149" max="6156" width="12.875" customWidth="1"/>
    <col min="6157" max="6157" width="13.375" customWidth="1"/>
    <col min="6401" max="6401" width="3.5" customWidth="1"/>
    <col min="6402" max="6402" width="2.75" customWidth="1"/>
    <col min="6403" max="6403" width="67.5" customWidth="1"/>
    <col min="6404" max="6404" width="12.375" customWidth="1"/>
    <col min="6405" max="6412" width="12.875" customWidth="1"/>
    <col min="6413" max="6413" width="13.375" customWidth="1"/>
    <col min="6657" max="6657" width="3.5" customWidth="1"/>
    <col min="6658" max="6658" width="2.75" customWidth="1"/>
    <col min="6659" max="6659" width="67.5" customWidth="1"/>
    <col min="6660" max="6660" width="12.375" customWidth="1"/>
    <col min="6661" max="6668" width="12.875" customWidth="1"/>
    <col min="6669" max="6669" width="13.375" customWidth="1"/>
    <col min="6913" max="6913" width="3.5" customWidth="1"/>
    <col min="6914" max="6914" width="2.75" customWidth="1"/>
    <col min="6915" max="6915" width="67.5" customWidth="1"/>
    <col min="6916" max="6916" width="12.375" customWidth="1"/>
    <col min="6917" max="6924" width="12.875" customWidth="1"/>
    <col min="6925" max="6925" width="13.375" customWidth="1"/>
    <col min="7169" max="7169" width="3.5" customWidth="1"/>
    <col min="7170" max="7170" width="2.75" customWidth="1"/>
    <col min="7171" max="7171" width="67.5" customWidth="1"/>
    <col min="7172" max="7172" width="12.375" customWidth="1"/>
    <col min="7173" max="7180" width="12.875" customWidth="1"/>
    <col min="7181" max="7181" width="13.375" customWidth="1"/>
    <col min="7425" max="7425" width="3.5" customWidth="1"/>
    <col min="7426" max="7426" width="2.75" customWidth="1"/>
    <col min="7427" max="7427" width="67.5" customWidth="1"/>
    <col min="7428" max="7428" width="12.375" customWidth="1"/>
    <col min="7429" max="7436" width="12.875" customWidth="1"/>
    <col min="7437" max="7437" width="13.375" customWidth="1"/>
    <col min="7681" max="7681" width="3.5" customWidth="1"/>
    <col min="7682" max="7682" width="2.75" customWidth="1"/>
    <col min="7683" max="7683" width="67.5" customWidth="1"/>
    <col min="7684" max="7684" width="12.375" customWidth="1"/>
    <col min="7685" max="7692" width="12.875" customWidth="1"/>
    <col min="7693" max="7693" width="13.375" customWidth="1"/>
    <col min="7937" max="7937" width="3.5" customWidth="1"/>
    <col min="7938" max="7938" width="2.75" customWidth="1"/>
    <col min="7939" max="7939" width="67.5" customWidth="1"/>
    <col min="7940" max="7940" width="12.375" customWidth="1"/>
    <col min="7941" max="7948" width="12.875" customWidth="1"/>
    <col min="7949" max="7949" width="13.375" customWidth="1"/>
    <col min="8193" max="8193" width="3.5" customWidth="1"/>
    <col min="8194" max="8194" width="2.75" customWidth="1"/>
    <col min="8195" max="8195" width="67.5" customWidth="1"/>
    <col min="8196" max="8196" width="12.375" customWidth="1"/>
    <col min="8197" max="8204" width="12.875" customWidth="1"/>
    <col min="8205" max="8205" width="13.375" customWidth="1"/>
    <col min="8449" max="8449" width="3.5" customWidth="1"/>
    <col min="8450" max="8450" width="2.75" customWidth="1"/>
    <col min="8451" max="8451" width="67.5" customWidth="1"/>
    <col min="8452" max="8452" width="12.375" customWidth="1"/>
    <col min="8453" max="8460" width="12.875" customWidth="1"/>
    <col min="8461" max="8461" width="13.375" customWidth="1"/>
    <col min="8705" max="8705" width="3.5" customWidth="1"/>
    <col min="8706" max="8706" width="2.75" customWidth="1"/>
    <col min="8707" max="8707" width="67.5" customWidth="1"/>
    <col min="8708" max="8708" width="12.375" customWidth="1"/>
    <col min="8709" max="8716" width="12.875" customWidth="1"/>
    <col min="8717" max="8717" width="13.375" customWidth="1"/>
    <col min="8961" max="8961" width="3.5" customWidth="1"/>
    <col min="8962" max="8962" width="2.75" customWidth="1"/>
    <col min="8963" max="8963" width="67.5" customWidth="1"/>
    <col min="8964" max="8964" width="12.375" customWidth="1"/>
    <col min="8965" max="8972" width="12.875" customWidth="1"/>
    <col min="8973" max="8973" width="13.375" customWidth="1"/>
    <col min="9217" max="9217" width="3.5" customWidth="1"/>
    <col min="9218" max="9218" width="2.75" customWidth="1"/>
    <col min="9219" max="9219" width="67.5" customWidth="1"/>
    <col min="9220" max="9220" width="12.375" customWidth="1"/>
    <col min="9221" max="9228" width="12.875" customWidth="1"/>
    <col min="9229" max="9229" width="13.375" customWidth="1"/>
    <col min="9473" max="9473" width="3.5" customWidth="1"/>
    <col min="9474" max="9474" width="2.75" customWidth="1"/>
    <col min="9475" max="9475" width="67.5" customWidth="1"/>
    <col min="9476" max="9476" width="12.375" customWidth="1"/>
    <col min="9477" max="9484" width="12.875" customWidth="1"/>
    <col min="9485" max="9485" width="13.375" customWidth="1"/>
    <col min="9729" max="9729" width="3.5" customWidth="1"/>
    <col min="9730" max="9730" width="2.75" customWidth="1"/>
    <col min="9731" max="9731" width="67.5" customWidth="1"/>
    <col min="9732" max="9732" width="12.375" customWidth="1"/>
    <col min="9733" max="9740" width="12.875" customWidth="1"/>
    <col min="9741" max="9741" width="13.375" customWidth="1"/>
    <col min="9985" max="9985" width="3.5" customWidth="1"/>
    <col min="9986" max="9986" width="2.75" customWidth="1"/>
    <col min="9987" max="9987" width="67.5" customWidth="1"/>
    <col min="9988" max="9988" width="12.375" customWidth="1"/>
    <col min="9989" max="9996" width="12.875" customWidth="1"/>
    <col min="9997" max="9997" width="13.375" customWidth="1"/>
    <col min="10241" max="10241" width="3.5" customWidth="1"/>
    <col min="10242" max="10242" width="2.75" customWidth="1"/>
    <col min="10243" max="10243" width="67.5" customWidth="1"/>
    <col min="10244" max="10244" width="12.375" customWidth="1"/>
    <col min="10245" max="10252" width="12.875" customWidth="1"/>
    <col min="10253" max="10253" width="13.375" customWidth="1"/>
    <col min="10497" max="10497" width="3.5" customWidth="1"/>
    <col min="10498" max="10498" width="2.75" customWidth="1"/>
    <col min="10499" max="10499" width="67.5" customWidth="1"/>
    <col min="10500" max="10500" width="12.375" customWidth="1"/>
    <col min="10501" max="10508" width="12.875" customWidth="1"/>
    <col min="10509" max="10509" width="13.375" customWidth="1"/>
    <col min="10753" max="10753" width="3.5" customWidth="1"/>
    <col min="10754" max="10754" width="2.75" customWidth="1"/>
    <col min="10755" max="10755" width="67.5" customWidth="1"/>
    <col min="10756" max="10756" width="12.375" customWidth="1"/>
    <col min="10757" max="10764" width="12.875" customWidth="1"/>
    <col min="10765" max="10765" width="13.375" customWidth="1"/>
    <col min="11009" max="11009" width="3.5" customWidth="1"/>
    <col min="11010" max="11010" width="2.75" customWidth="1"/>
    <col min="11011" max="11011" width="67.5" customWidth="1"/>
    <col min="11012" max="11012" width="12.375" customWidth="1"/>
    <col min="11013" max="11020" width="12.875" customWidth="1"/>
    <col min="11021" max="11021" width="13.375" customWidth="1"/>
    <col min="11265" max="11265" width="3.5" customWidth="1"/>
    <col min="11266" max="11266" width="2.75" customWidth="1"/>
    <col min="11267" max="11267" width="67.5" customWidth="1"/>
    <col min="11268" max="11268" width="12.375" customWidth="1"/>
    <col min="11269" max="11276" width="12.875" customWidth="1"/>
    <col min="11277" max="11277" width="13.375" customWidth="1"/>
    <col min="11521" max="11521" width="3.5" customWidth="1"/>
    <col min="11522" max="11522" width="2.75" customWidth="1"/>
    <col min="11523" max="11523" width="67.5" customWidth="1"/>
    <col min="11524" max="11524" width="12.375" customWidth="1"/>
    <col min="11525" max="11532" width="12.875" customWidth="1"/>
    <col min="11533" max="11533" width="13.375" customWidth="1"/>
    <col min="11777" max="11777" width="3.5" customWidth="1"/>
    <col min="11778" max="11778" width="2.75" customWidth="1"/>
    <col min="11779" max="11779" width="67.5" customWidth="1"/>
    <col min="11780" max="11780" width="12.375" customWidth="1"/>
    <col min="11781" max="11788" width="12.875" customWidth="1"/>
    <col min="11789" max="11789" width="13.375" customWidth="1"/>
    <col min="12033" max="12033" width="3.5" customWidth="1"/>
    <col min="12034" max="12034" width="2.75" customWidth="1"/>
    <col min="12035" max="12035" width="67.5" customWidth="1"/>
    <col min="12036" max="12036" width="12.375" customWidth="1"/>
    <col min="12037" max="12044" width="12.875" customWidth="1"/>
    <col min="12045" max="12045" width="13.375" customWidth="1"/>
    <col min="12289" max="12289" width="3.5" customWidth="1"/>
    <col min="12290" max="12290" width="2.75" customWidth="1"/>
    <col min="12291" max="12291" width="67.5" customWidth="1"/>
    <col min="12292" max="12292" width="12.375" customWidth="1"/>
    <col min="12293" max="12300" width="12.875" customWidth="1"/>
    <col min="12301" max="12301" width="13.375" customWidth="1"/>
    <col min="12545" max="12545" width="3.5" customWidth="1"/>
    <col min="12546" max="12546" width="2.75" customWidth="1"/>
    <col min="12547" max="12547" width="67.5" customWidth="1"/>
    <col min="12548" max="12548" width="12.375" customWidth="1"/>
    <col min="12549" max="12556" width="12.875" customWidth="1"/>
    <col min="12557" max="12557" width="13.375" customWidth="1"/>
    <col min="12801" max="12801" width="3.5" customWidth="1"/>
    <col min="12802" max="12802" width="2.75" customWidth="1"/>
    <col min="12803" max="12803" width="67.5" customWidth="1"/>
    <col min="12804" max="12804" width="12.375" customWidth="1"/>
    <col min="12805" max="12812" width="12.875" customWidth="1"/>
    <col min="12813" max="12813" width="13.375" customWidth="1"/>
    <col min="13057" max="13057" width="3.5" customWidth="1"/>
    <col min="13058" max="13058" width="2.75" customWidth="1"/>
    <col min="13059" max="13059" width="67.5" customWidth="1"/>
    <col min="13060" max="13060" width="12.375" customWidth="1"/>
    <col min="13061" max="13068" width="12.875" customWidth="1"/>
    <col min="13069" max="13069" width="13.375" customWidth="1"/>
    <col min="13313" max="13313" width="3.5" customWidth="1"/>
    <col min="13314" max="13314" width="2.75" customWidth="1"/>
    <col min="13315" max="13315" width="67.5" customWidth="1"/>
    <col min="13316" max="13316" width="12.375" customWidth="1"/>
    <col min="13317" max="13324" width="12.875" customWidth="1"/>
    <col min="13325" max="13325" width="13.375" customWidth="1"/>
    <col min="13569" max="13569" width="3.5" customWidth="1"/>
    <col min="13570" max="13570" width="2.75" customWidth="1"/>
    <col min="13571" max="13571" width="67.5" customWidth="1"/>
    <col min="13572" max="13572" width="12.375" customWidth="1"/>
    <col min="13573" max="13580" width="12.875" customWidth="1"/>
    <col min="13581" max="13581" width="13.375" customWidth="1"/>
    <col min="13825" max="13825" width="3.5" customWidth="1"/>
    <col min="13826" max="13826" width="2.75" customWidth="1"/>
    <col min="13827" max="13827" width="67.5" customWidth="1"/>
    <col min="13828" max="13828" width="12.375" customWidth="1"/>
    <col min="13829" max="13836" width="12.875" customWidth="1"/>
    <col min="13837" max="13837" width="13.375" customWidth="1"/>
    <col min="14081" max="14081" width="3.5" customWidth="1"/>
    <col min="14082" max="14082" width="2.75" customWidth="1"/>
    <col min="14083" max="14083" width="67.5" customWidth="1"/>
    <col min="14084" max="14084" width="12.375" customWidth="1"/>
    <col min="14085" max="14092" width="12.875" customWidth="1"/>
    <col min="14093" max="14093" width="13.375" customWidth="1"/>
    <col min="14337" max="14337" width="3.5" customWidth="1"/>
    <col min="14338" max="14338" width="2.75" customWidth="1"/>
    <col min="14339" max="14339" width="67.5" customWidth="1"/>
    <col min="14340" max="14340" width="12.375" customWidth="1"/>
    <col min="14341" max="14348" width="12.875" customWidth="1"/>
    <col min="14349" max="14349" width="13.375" customWidth="1"/>
    <col min="14593" max="14593" width="3.5" customWidth="1"/>
    <col min="14594" max="14594" width="2.75" customWidth="1"/>
    <col min="14595" max="14595" width="67.5" customWidth="1"/>
    <col min="14596" max="14596" width="12.375" customWidth="1"/>
    <col min="14597" max="14604" width="12.875" customWidth="1"/>
    <col min="14605" max="14605" width="13.375" customWidth="1"/>
    <col min="14849" max="14849" width="3.5" customWidth="1"/>
    <col min="14850" max="14850" width="2.75" customWidth="1"/>
    <col min="14851" max="14851" width="67.5" customWidth="1"/>
    <col min="14852" max="14852" width="12.375" customWidth="1"/>
    <col min="14853" max="14860" width="12.875" customWidth="1"/>
    <col min="14861" max="14861" width="13.375" customWidth="1"/>
    <col min="15105" max="15105" width="3.5" customWidth="1"/>
    <col min="15106" max="15106" width="2.75" customWidth="1"/>
    <col min="15107" max="15107" width="67.5" customWidth="1"/>
    <col min="15108" max="15108" width="12.375" customWidth="1"/>
    <col min="15109" max="15116" width="12.875" customWidth="1"/>
    <col min="15117" max="15117" width="13.375" customWidth="1"/>
    <col min="15361" max="15361" width="3.5" customWidth="1"/>
    <col min="15362" max="15362" width="2.75" customWidth="1"/>
    <col min="15363" max="15363" width="67.5" customWidth="1"/>
    <col min="15364" max="15364" width="12.375" customWidth="1"/>
    <col min="15365" max="15372" width="12.875" customWidth="1"/>
    <col min="15373" max="15373" width="13.375" customWidth="1"/>
    <col min="15617" max="15617" width="3.5" customWidth="1"/>
    <col min="15618" max="15618" width="2.75" customWidth="1"/>
    <col min="15619" max="15619" width="67.5" customWidth="1"/>
    <col min="15620" max="15620" width="12.375" customWidth="1"/>
    <col min="15621" max="15628" width="12.875" customWidth="1"/>
    <col min="15629" max="15629" width="13.375" customWidth="1"/>
    <col min="15873" max="15873" width="3.5" customWidth="1"/>
    <col min="15874" max="15874" width="2.75" customWidth="1"/>
    <col min="15875" max="15875" width="67.5" customWidth="1"/>
    <col min="15876" max="15876" width="12.375" customWidth="1"/>
    <col min="15877" max="15884" width="12.875" customWidth="1"/>
    <col min="15885" max="15885" width="13.375" customWidth="1"/>
    <col min="16129" max="16129" width="3.5" customWidth="1"/>
    <col min="16130" max="16130" width="2.75" customWidth="1"/>
    <col min="16131" max="16131" width="67.5" customWidth="1"/>
    <col min="16132" max="16132" width="12.375" customWidth="1"/>
    <col min="16133" max="16140" width="12.875" customWidth="1"/>
    <col min="16141" max="16141" width="13.375" customWidth="1"/>
  </cols>
  <sheetData>
    <row r="1" spans="1:13" ht="16.5" customHeight="1">
      <c r="A1" s="374" t="s">
        <v>185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ht="25.5" customHeight="1">
      <c r="A2" s="375" t="s">
        <v>186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 ht="17.25" customHeight="1" thickBot="1">
      <c r="M3" s="173" t="s">
        <v>14</v>
      </c>
    </row>
    <row r="4" spans="1:13" ht="27" customHeight="1" thickBot="1">
      <c r="A4" s="174" t="s">
        <v>140</v>
      </c>
      <c r="B4" s="376" t="s">
        <v>92</v>
      </c>
      <c r="C4" s="377"/>
      <c r="D4" s="175">
        <v>2011</v>
      </c>
      <c r="E4" s="85">
        <v>2012</v>
      </c>
      <c r="F4" s="85">
        <v>2013</v>
      </c>
      <c r="G4" s="85">
        <v>2014</v>
      </c>
      <c r="H4" s="85">
        <v>2015</v>
      </c>
      <c r="I4" s="85">
        <v>2016</v>
      </c>
      <c r="J4" s="85">
        <v>2017</v>
      </c>
      <c r="K4" s="85">
        <v>2018</v>
      </c>
      <c r="L4" s="85">
        <v>2019</v>
      </c>
      <c r="M4" s="167">
        <v>2020</v>
      </c>
    </row>
    <row r="5" spans="1:13" ht="21" customHeight="1">
      <c r="A5" s="176">
        <v>1</v>
      </c>
      <c r="B5" s="378" t="s">
        <v>187</v>
      </c>
      <c r="C5" s="379"/>
      <c r="D5" s="177">
        <f>D6+D7</f>
        <v>1379135449</v>
      </c>
      <c r="E5" s="177">
        <f>E6+E7</f>
        <v>1329207513</v>
      </c>
      <c r="F5" s="177">
        <f t="shared" ref="F5:M5" si="0">F6+F7</f>
        <v>1663929585</v>
      </c>
      <c r="G5" s="177">
        <f t="shared" si="0"/>
        <v>1451014436</v>
      </c>
      <c r="H5" s="177">
        <f t="shared" si="0"/>
        <v>906761827</v>
      </c>
      <c r="I5" s="177">
        <f t="shared" si="0"/>
        <v>870410726</v>
      </c>
      <c r="J5" s="177">
        <f t="shared" si="0"/>
        <v>878320707</v>
      </c>
      <c r="K5" s="177">
        <f t="shared" si="0"/>
        <v>883993380</v>
      </c>
      <c r="L5" s="177">
        <f t="shared" si="0"/>
        <v>889387133</v>
      </c>
      <c r="M5" s="177">
        <f t="shared" si="0"/>
        <v>895191654</v>
      </c>
    </row>
    <row r="6" spans="1:13" ht="21" customHeight="1">
      <c r="A6" s="380"/>
      <c r="B6" s="178" t="s">
        <v>188</v>
      </c>
      <c r="C6" s="179" t="s">
        <v>189</v>
      </c>
      <c r="D6" s="180">
        <v>1054733305</v>
      </c>
      <c r="E6" s="180">
        <f>'DANE ZBIORCZE'!D47</f>
        <v>1117609768</v>
      </c>
      <c r="F6" s="180">
        <f>'DANE ZBIORCZE'!E47</f>
        <v>983793415</v>
      </c>
      <c r="G6" s="180">
        <f>'DANE ZBIORCZE'!F47</f>
        <v>903869144</v>
      </c>
      <c r="H6" s="180">
        <f>'DANE ZBIORCZE'!G47</f>
        <v>881026706</v>
      </c>
      <c r="I6" s="180">
        <f>'DANE ZBIORCZE'!H47</f>
        <v>848468126</v>
      </c>
      <c r="J6" s="180">
        <f>'DANE ZBIORCZE'!I47</f>
        <v>854278107</v>
      </c>
      <c r="K6" s="180">
        <f>'DANE ZBIORCZE'!J47</f>
        <v>859950780</v>
      </c>
      <c r="L6" s="180">
        <f>'DANE ZBIORCZE'!K47</f>
        <v>865494533</v>
      </c>
      <c r="M6" s="180">
        <f>'DANE ZBIORCZE'!L47</f>
        <v>871299054</v>
      </c>
    </row>
    <row r="7" spans="1:13" ht="21" customHeight="1">
      <c r="A7" s="381"/>
      <c r="B7" s="178" t="s">
        <v>190</v>
      </c>
      <c r="C7" s="179" t="s">
        <v>191</v>
      </c>
      <c r="D7" s="180">
        <v>324402144</v>
      </c>
      <c r="E7" s="180">
        <f>'DANE ZBIORCZE'!D48</f>
        <v>211597745</v>
      </c>
      <c r="F7" s="180">
        <f>'DANE ZBIORCZE'!E48</f>
        <v>680136170</v>
      </c>
      <c r="G7" s="180">
        <f>'DANE ZBIORCZE'!F48</f>
        <v>547145292</v>
      </c>
      <c r="H7" s="180">
        <f>'DANE ZBIORCZE'!G48</f>
        <v>25735121</v>
      </c>
      <c r="I7" s="180">
        <f>'DANE ZBIORCZE'!H48</f>
        <v>21942600</v>
      </c>
      <c r="J7" s="180">
        <f>'DANE ZBIORCZE'!I48</f>
        <v>24042600</v>
      </c>
      <c r="K7" s="180">
        <f>'DANE ZBIORCZE'!J48</f>
        <v>24042600</v>
      </c>
      <c r="L7" s="180">
        <f>'DANE ZBIORCZE'!K48</f>
        <v>23892600</v>
      </c>
      <c r="M7" s="180">
        <f>'DANE ZBIORCZE'!L48</f>
        <v>23892600</v>
      </c>
    </row>
    <row r="8" spans="1:13" ht="21" customHeight="1">
      <c r="A8" s="382"/>
      <c r="B8" s="181" t="s">
        <v>192</v>
      </c>
      <c r="C8" s="179" t="s">
        <v>193</v>
      </c>
      <c r="D8" s="180">
        <f>'DANE ZBIORCZE'!C24</f>
        <v>5097400</v>
      </c>
      <c r="E8" s="180">
        <f>'DANE ZBIORCZE'!D24</f>
        <v>5118720</v>
      </c>
      <c r="F8" s="180">
        <f>'DANE ZBIORCZE'!E24</f>
        <v>3746600</v>
      </c>
      <c r="G8" s="180">
        <f>'DANE ZBIORCZE'!F24</f>
        <v>5621600</v>
      </c>
      <c r="H8" s="180">
        <f>'DANE ZBIORCZE'!G24</f>
        <v>2221600</v>
      </c>
      <c r="I8" s="180">
        <f>'DANE ZBIORCZE'!H24</f>
        <v>3446600</v>
      </c>
      <c r="J8" s="180">
        <f>'DANE ZBIORCZE'!I24</f>
        <v>5546600</v>
      </c>
      <c r="K8" s="180">
        <f>'DANE ZBIORCZE'!J24</f>
        <v>5546600</v>
      </c>
      <c r="L8" s="180">
        <f>'DANE ZBIORCZE'!K24</f>
        <v>5396600</v>
      </c>
      <c r="M8" s="180">
        <f>'DANE ZBIORCZE'!L24</f>
        <v>5396600</v>
      </c>
    </row>
    <row r="9" spans="1:13" ht="21" customHeight="1">
      <c r="A9" s="176">
        <v>2</v>
      </c>
      <c r="B9" s="372" t="s">
        <v>194</v>
      </c>
      <c r="C9" s="373"/>
      <c r="D9" s="182">
        <f>D10+D16</f>
        <v>1651095165</v>
      </c>
      <c r="E9" s="182" t="e">
        <f>E10+E16</f>
        <v>#REF!</v>
      </c>
      <c r="F9" s="182">
        <f t="shared" ref="F9:M9" si="1">F10+F16</f>
        <v>1523335813</v>
      </c>
      <c r="G9" s="182">
        <f t="shared" si="1"/>
        <v>1249521660</v>
      </c>
      <c r="H9" s="182">
        <f t="shared" si="1"/>
        <v>827563243</v>
      </c>
      <c r="I9" s="182">
        <f t="shared" si="1"/>
        <v>795774506</v>
      </c>
      <c r="J9" s="182">
        <f t="shared" si="1"/>
        <v>803684487</v>
      </c>
      <c r="K9" s="182">
        <f t="shared" si="1"/>
        <v>809357160</v>
      </c>
      <c r="L9" s="182">
        <f t="shared" si="1"/>
        <v>814750913</v>
      </c>
      <c r="M9" s="182">
        <f t="shared" si="1"/>
        <v>820555414</v>
      </c>
    </row>
    <row r="10" spans="1:13" ht="21" customHeight="1">
      <c r="A10" s="380"/>
      <c r="B10" s="197" t="s">
        <v>188</v>
      </c>
      <c r="C10" s="179" t="s">
        <v>195</v>
      </c>
      <c r="D10" s="183">
        <f>'wielkości początkowe'!G10+18709</f>
        <v>933646616</v>
      </c>
      <c r="E10" s="307" t="e">
        <f>#REF!</f>
        <v>#REF!</v>
      </c>
      <c r="F10" s="307">
        <f>'wielkości początkowe'!I10</f>
        <v>583069383</v>
      </c>
      <c r="G10" s="307">
        <f>'wielkości początkowe'!J10</f>
        <v>576279710</v>
      </c>
      <c r="H10" s="307">
        <f>'wielkości początkowe'!K10</f>
        <v>539862182</v>
      </c>
      <c r="I10" s="307">
        <f>'wielkości początkowe'!L10</f>
        <v>544691807</v>
      </c>
      <c r="J10" s="307">
        <f>'wielkości początkowe'!M10</f>
        <v>552001591</v>
      </c>
      <c r="K10" s="307">
        <f>'wielkości początkowe'!N10</f>
        <v>559178418</v>
      </c>
      <c r="L10" s="307">
        <f>'wielkości początkowe'!O10</f>
        <v>566557614</v>
      </c>
      <c r="M10" s="307">
        <f>'wielkości początkowe'!P10</f>
        <v>574250140</v>
      </c>
    </row>
    <row r="11" spans="1:13" ht="21" customHeight="1">
      <c r="A11" s="381"/>
      <c r="B11" s="178" t="s">
        <v>190</v>
      </c>
      <c r="C11" s="179" t="s">
        <v>101</v>
      </c>
      <c r="D11" s="180">
        <v>232844925</v>
      </c>
      <c r="E11" s="308"/>
      <c r="F11" s="309">
        <v>232844925</v>
      </c>
      <c r="G11" s="309">
        <v>232844925</v>
      </c>
      <c r="H11" s="309">
        <v>232844925</v>
      </c>
      <c r="I11" s="309">
        <v>232844925</v>
      </c>
      <c r="J11" s="309">
        <v>232844925</v>
      </c>
      <c r="K11" s="309">
        <v>232844925</v>
      </c>
      <c r="L11" s="309">
        <v>232844925</v>
      </c>
      <c r="M11" s="309">
        <v>232844925</v>
      </c>
    </row>
    <row r="12" spans="1:13" ht="21" customHeight="1">
      <c r="A12" s="381"/>
      <c r="B12" s="178" t="s">
        <v>192</v>
      </c>
      <c r="C12" s="179" t="s">
        <v>102</v>
      </c>
      <c r="D12" s="184">
        <v>105626584</v>
      </c>
      <c r="E12" s="309"/>
      <c r="F12" s="309">
        <v>103835080</v>
      </c>
      <c r="G12" s="309">
        <v>103835080</v>
      </c>
      <c r="H12" s="309">
        <v>103835080</v>
      </c>
      <c r="I12" s="309">
        <v>103835080</v>
      </c>
      <c r="J12" s="309">
        <v>103835080</v>
      </c>
      <c r="K12" s="309">
        <v>103835080</v>
      </c>
      <c r="L12" s="309">
        <v>103835080</v>
      </c>
      <c r="M12" s="309">
        <v>103835080</v>
      </c>
    </row>
    <row r="13" spans="1:13" ht="21" customHeight="1">
      <c r="A13" s="381"/>
      <c r="B13" s="178" t="s">
        <v>196</v>
      </c>
      <c r="C13" s="179" t="s">
        <v>197</v>
      </c>
      <c r="D13" s="184">
        <v>8100000</v>
      </c>
      <c r="E13" s="309">
        <v>8100000</v>
      </c>
      <c r="F13" s="309">
        <v>8100000</v>
      </c>
      <c r="G13" s="309">
        <v>8100000</v>
      </c>
      <c r="H13" s="309">
        <v>8100000</v>
      </c>
      <c r="I13" s="309">
        <v>8100000</v>
      </c>
      <c r="J13" s="309">
        <v>8100000</v>
      </c>
      <c r="K13" s="309">
        <v>8100000</v>
      </c>
      <c r="L13" s="309">
        <v>8100000</v>
      </c>
      <c r="M13" s="309">
        <v>8100000</v>
      </c>
    </row>
    <row r="14" spans="1:13" ht="21" customHeight="1">
      <c r="A14" s="381"/>
      <c r="B14" s="178" t="s">
        <v>198</v>
      </c>
      <c r="C14" s="185" t="s">
        <v>142</v>
      </c>
      <c r="D14" s="315">
        <f>'Koszty kredytów'!D25+18709</f>
        <v>9371590.4576520547</v>
      </c>
      <c r="E14" s="315">
        <f>'Koszty kredytów'!E25</f>
        <v>22654789.766126849</v>
      </c>
      <c r="F14" s="315">
        <f>'Koszty kredytów'!F25</f>
        <v>36119886.155063018</v>
      </c>
      <c r="G14" s="315">
        <f>'Koszty kredytów'!G25</f>
        <v>32479734.346335612</v>
      </c>
      <c r="H14" s="315">
        <f>'Koszty kredytów'!H25</f>
        <v>26177630.536109593</v>
      </c>
      <c r="I14" s="315">
        <f>'Koszty kredytów'!I25</f>
        <v>22340726.892493147</v>
      </c>
      <c r="J14" s="315">
        <f>'Koszty kredytów'!J25</f>
        <v>17803896.488876712</v>
      </c>
      <c r="K14" s="315">
        <f>'Koszty kredytów'!K25</f>
        <v>12679872.521424659</v>
      </c>
      <c r="L14" s="315">
        <f>'Koszty kredytów'!L25</f>
        <v>7502694.4592876714</v>
      </c>
      <c r="M14" s="315">
        <f>'Koszty kredytów'!M25</f>
        <v>1801412.3495342468</v>
      </c>
    </row>
    <row r="15" spans="1:13" ht="21" customHeight="1">
      <c r="A15" s="381"/>
      <c r="B15" s="178" t="s">
        <v>199</v>
      </c>
      <c r="C15" s="186" t="s">
        <v>200</v>
      </c>
      <c r="D15" s="187">
        <v>264386504</v>
      </c>
      <c r="E15" s="310">
        <v>264386504</v>
      </c>
      <c r="F15" s="308">
        <v>93334606</v>
      </c>
      <c r="G15" s="308">
        <v>46300458</v>
      </c>
      <c r="H15" s="308">
        <v>13437419</v>
      </c>
      <c r="I15" s="308">
        <v>13325894</v>
      </c>
      <c r="J15" s="308">
        <v>11735070</v>
      </c>
      <c r="K15" s="308">
        <v>11338115</v>
      </c>
      <c r="L15" s="308">
        <v>11248169</v>
      </c>
      <c r="M15" s="308">
        <v>11293286</v>
      </c>
    </row>
    <row r="16" spans="1:13" ht="21" customHeight="1">
      <c r="A16" s="381"/>
      <c r="B16" s="197" t="s">
        <v>201</v>
      </c>
      <c r="C16" s="179" t="s">
        <v>202</v>
      </c>
      <c r="D16" s="182">
        <f>877104805-159656256</f>
        <v>717448549</v>
      </c>
      <c r="E16" s="182" t="e">
        <f>#REF!</f>
        <v>#REF!</v>
      </c>
      <c r="F16" s="182">
        <v>940266430</v>
      </c>
      <c r="G16" s="182">
        <v>673241950</v>
      </c>
      <c r="H16" s="182">
        <v>287701061</v>
      </c>
      <c r="I16" s="182">
        <v>251082699</v>
      </c>
      <c r="J16" s="182">
        <v>251682896</v>
      </c>
      <c r="K16" s="182">
        <v>250178742</v>
      </c>
      <c r="L16" s="182">
        <v>248193299</v>
      </c>
      <c r="M16" s="182">
        <v>246305274</v>
      </c>
    </row>
    <row r="17" spans="1:13" ht="21" customHeight="1">
      <c r="A17" s="382"/>
      <c r="B17" s="178" t="s">
        <v>203</v>
      </c>
      <c r="C17" s="188" t="s">
        <v>204</v>
      </c>
      <c r="D17" s="180">
        <v>459057825</v>
      </c>
      <c r="E17" s="308">
        <v>569262125</v>
      </c>
      <c r="F17" s="308">
        <v>882428031</v>
      </c>
      <c r="G17" s="308">
        <v>458042152</v>
      </c>
      <c r="H17" s="308">
        <v>87593118</v>
      </c>
      <c r="I17" s="308">
        <v>7274064</v>
      </c>
      <c r="J17" s="308">
        <v>0</v>
      </c>
      <c r="K17" s="308">
        <v>0</v>
      </c>
      <c r="L17" s="308">
        <v>0</v>
      </c>
      <c r="M17" s="308">
        <v>0</v>
      </c>
    </row>
    <row r="18" spans="1:13" ht="21" customHeight="1">
      <c r="A18" s="189">
        <v>3</v>
      </c>
      <c r="B18" s="372" t="s">
        <v>205</v>
      </c>
      <c r="C18" s="373"/>
      <c r="D18" s="182">
        <f>D5-D9</f>
        <v>-271959716</v>
      </c>
      <c r="E18" s="182" t="e">
        <f>E5-E9</f>
        <v>#REF!</v>
      </c>
      <c r="F18" s="182">
        <f t="shared" ref="F18:M19" si="2">F5-F9</f>
        <v>140593772</v>
      </c>
      <c r="G18" s="182">
        <f t="shared" si="2"/>
        <v>201492776</v>
      </c>
      <c r="H18" s="182">
        <f t="shared" si="2"/>
        <v>79198584</v>
      </c>
      <c r="I18" s="182">
        <f t="shared" si="2"/>
        <v>74636220</v>
      </c>
      <c r="J18" s="182">
        <f t="shared" si="2"/>
        <v>74636220</v>
      </c>
      <c r="K18" s="182">
        <f t="shared" si="2"/>
        <v>74636220</v>
      </c>
      <c r="L18" s="182">
        <f t="shared" si="2"/>
        <v>74636220</v>
      </c>
      <c r="M18" s="182">
        <f t="shared" si="2"/>
        <v>74636240</v>
      </c>
    </row>
    <row r="19" spans="1:13" ht="21" customHeight="1">
      <c r="A19" s="176">
        <v>4</v>
      </c>
      <c r="B19" s="372" t="s">
        <v>206</v>
      </c>
      <c r="C19" s="373"/>
      <c r="D19" s="182">
        <f>D6-D10</f>
        <v>121086689</v>
      </c>
      <c r="E19" s="182" t="e">
        <f>E6-E10</f>
        <v>#REF!</v>
      </c>
      <c r="F19" s="182">
        <f t="shared" si="2"/>
        <v>400724032</v>
      </c>
      <c r="G19" s="182">
        <f t="shared" si="2"/>
        <v>327589434</v>
      </c>
      <c r="H19" s="182">
        <f t="shared" si="2"/>
        <v>341164524</v>
      </c>
      <c r="I19" s="182">
        <f t="shared" si="2"/>
        <v>303776319</v>
      </c>
      <c r="J19" s="182">
        <f t="shared" si="2"/>
        <v>302276516</v>
      </c>
      <c r="K19" s="182">
        <f t="shared" si="2"/>
        <v>300772362</v>
      </c>
      <c r="L19" s="182">
        <f t="shared" si="2"/>
        <v>298936919</v>
      </c>
      <c r="M19" s="182">
        <f t="shared" si="2"/>
        <v>297048914</v>
      </c>
    </row>
    <row r="20" spans="1:13" ht="21" customHeight="1">
      <c r="A20" s="176">
        <v>5</v>
      </c>
      <c r="B20" s="372" t="s">
        <v>207</v>
      </c>
      <c r="C20" s="373"/>
      <c r="D20" s="182">
        <f>SUM(D21:D25)</f>
        <v>293944338</v>
      </c>
      <c r="E20" s="182">
        <f>SUM(E21:E25)</f>
        <v>353395295</v>
      </c>
      <c r="F20" s="182">
        <f t="shared" ref="F20:M20" si="3">SUM(F21:F25)</f>
        <v>54663401</v>
      </c>
      <c r="G20" s="182">
        <f t="shared" si="3"/>
        <v>32465444</v>
      </c>
      <c r="H20" s="182">
        <f t="shared" si="3"/>
        <v>0</v>
      </c>
      <c r="I20" s="182">
        <f t="shared" si="3"/>
        <v>0</v>
      </c>
      <c r="J20" s="182">
        <f t="shared" si="3"/>
        <v>0</v>
      </c>
      <c r="K20" s="182">
        <f t="shared" si="3"/>
        <v>0</v>
      </c>
      <c r="L20" s="182">
        <f t="shared" si="3"/>
        <v>0</v>
      </c>
      <c r="M20" s="182">
        <f t="shared" si="3"/>
        <v>0</v>
      </c>
    </row>
    <row r="21" spans="1:13" ht="21" customHeight="1">
      <c r="A21" s="380"/>
      <c r="B21" s="190" t="s">
        <v>188</v>
      </c>
      <c r="C21" s="179" t="s">
        <v>208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1:13" ht="21" customHeight="1">
      <c r="A22" s="381"/>
      <c r="B22" s="191" t="s">
        <v>190</v>
      </c>
      <c r="C22" s="186" t="s">
        <v>209</v>
      </c>
      <c r="D22" s="180"/>
      <c r="E22" s="180">
        <v>42214074</v>
      </c>
      <c r="F22" s="180"/>
      <c r="G22" s="180"/>
      <c r="H22" s="180"/>
      <c r="I22" s="180"/>
      <c r="J22" s="180"/>
      <c r="K22" s="180"/>
      <c r="L22" s="180"/>
      <c r="M22" s="180"/>
    </row>
    <row r="23" spans="1:13" ht="21" customHeight="1">
      <c r="A23" s="381"/>
      <c r="B23" s="178" t="s">
        <v>192</v>
      </c>
      <c r="C23" s="179" t="s">
        <v>210</v>
      </c>
      <c r="D23" s="180">
        <v>79310061</v>
      </c>
      <c r="E23" s="180"/>
      <c r="F23" s="180"/>
      <c r="G23" s="180"/>
      <c r="H23" s="180"/>
      <c r="I23" s="180"/>
      <c r="J23" s="180"/>
      <c r="K23" s="180"/>
      <c r="L23" s="180"/>
      <c r="M23" s="180"/>
    </row>
    <row r="24" spans="1:13" ht="21" customHeight="1">
      <c r="A24" s="381"/>
      <c r="B24" s="178" t="s">
        <v>196</v>
      </c>
      <c r="C24" s="185" t="s">
        <v>211</v>
      </c>
      <c r="D24" s="180">
        <v>17990444</v>
      </c>
      <c r="E24" s="180">
        <v>8430221</v>
      </c>
      <c r="F24" s="180">
        <v>6614621</v>
      </c>
      <c r="G24" s="180">
        <v>416664</v>
      </c>
      <c r="H24" s="180"/>
      <c r="I24" s="180"/>
      <c r="J24" s="180"/>
      <c r="K24" s="180"/>
      <c r="L24" s="180"/>
      <c r="M24" s="180"/>
    </row>
    <row r="25" spans="1:13" ht="21" customHeight="1">
      <c r="A25" s="382"/>
      <c r="B25" s="178" t="s">
        <v>198</v>
      </c>
      <c r="C25" s="179" t="s">
        <v>212</v>
      </c>
      <c r="D25" s="180">
        <v>196643833</v>
      </c>
      <c r="E25" s="180">
        <f>'Zestawienie kredytów'!F38</f>
        <v>302751000</v>
      </c>
      <c r="F25" s="180">
        <v>48048780</v>
      </c>
      <c r="G25" s="180">
        <v>32048780</v>
      </c>
      <c r="H25" s="180"/>
      <c r="I25" s="180"/>
      <c r="J25" s="180"/>
      <c r="K25" s="180"/>
      <c r="L25" s="180"/>
      <c r="M25" s="180"/>
    </row>
    <row r="26" spans="1:13" ht="21" customHeight="1">
      <c r="A26" s="189">
        <v>6</v>
      </c>
      <c r="B26" s="372" t="s">
        <v>213</v>
      </c>
      <c r="C26" s="373"/>
      <c r="D26" s="182">
        <f>SUM(D27:D28)</f>
        <v>24177476.960000001</v>
      </c>
      <c r="E26" s="182">
        <f>SUM(E27:E28)</f>
        <v>44026809</v>
      </c>
      <c r="F26" s="182">
        <f t="shared" ref="F26:M26" si="4">SUM(F27:F28)</f>
        <v>81870680</v>
      </c>
      <c r="G26" s="182">
        <f t="shared" si="4"/>
        <v>95163652</v>
      </c>
      <c r="H26" s="182">
        <f t="shared" si="4"/>
        <v>92505276</v>
      </c>
      <c r="I26" s="182">
        <f t="shared" si="4"/>
        <v>92505276</v>
      </c>
      <c r="J26" s="182">
        <f t="shared" si="4"/>
        <v>92505276</v>
      </c>
      <c r="K26" s="182">
        <f t="shared" si="4"/>
        <v>92505276</v>
      </c>
      <c r="L26" s="182">
        <f t="shared" si="4"/>
        <v>92505276</v>
      </c>
      <c r="M26" s="182">
        <f t="shared" si="4"/>
        <v>92505295.8116</v>
      </c>
    </row>
    <row r="27" spans="1:13" ht="21" customHeight="1">
      <c r="A27" s="380"/>
      <c r="B27" s="190" t="s">
        <v>188</v>
      </c>
      <c r="C27" s="179" t="s">
        <v>214</v>
      </c>
      <c r="D27" s="180">
        <f>'Koszty kredytów'!D24</f>
        <v>22177476.960000001</v>
      </c>
      <c r="E27" s="180">
        <f>'Koszty kredytów'!E24</f>
        <v>44026809</v>
      </c>
      <c r="F27" s="180">
        <f>'Koszty kredytów'!F24</f>
        <v>81870680</v>
      </c>
      <c r="G27" s="180">
        <f>'Koszty kredytów'!G24</f>
        <v>95163652</v>
      </c>
      <c r="H27" s="180">
        <f>'Koszty kredytów'!H24</f>
        <v>92505276</v>
      </c>
      <c r="I27" s="180">
        <f>'Koszty kredytów'!I24</f>
        <v>92505276</v>
      </c>
      <c r="J27" s="180">
        <f>'Koszty kredytów'!J24</f>
        <v>92505276</v>
      </c>
      <c r="K27" s="180">
        <f>'Koszty kredytów'!K24</f>
        <v>92505276</v>
      </c>
      <c r="L27" s="180">
        <f>'Koszty kredytów'!L24</f>
        <v>92505276</v>
      </c>
      <c r="M27" s="180">
        <f>'Koszty kredytów'!M24</f>
        <v>92505295.8116</v>
      </c>
    </row>
    <row r="28" spans="1:13" ht="21" customHeight="1">
      <c r="A28" s="382"/>
      <c r="B28" s="178" t="s">
        <v>190</v>
      </c>
      <c r="C28" s="179" t="s">
        <v>215</v>
      </c>
      <c r="D28" s="180">
        <v>2000000</v>
      </c>
      <c r="E28" s="180"/>
      <c r="F28" s="180"/>
      <c r="G28" s="180"/>
      <c r="H28" s="180"/>
      <c r="I28" s="180"/>
      <c r="J28" s="180"/>
      <c r="K28" s="180"/>
      <c r="L28" s="180"/>
      <c r="M28" s="192"/>
    </row>
    <row r="29" spans="1:13" ht="21" customHeight="1" thickBot="1">
      <c r="A29" s="193">
        <v>7</v>
      </c>
      <c r="B29" s="383" t="s">
        <v>216</v>
      </c>
      <c r="C29" s="384"/>
      <c r="D29" s="194">
        <f>D5+D20-D9-D26</f>
        <v>-2192854.9600000009</v>
      </c>
      <c r="E29" s="194" t="e">
        <f>E5+E20-E9-E26</f>
        <v>#REF!</v>
      </c>
      <c r="F29" s="194"/>
      <c r="G29" s="194"/>
      <c r="H29" s="194"/>
      <c r="I29" s="194"/>
      <c r="J29" s="194"/>
      <c r="K29" s="194"/>
      <c r="L29" s="194"/>
      <c r="M29" s="194"/>
    </row>
    <row r="30" spans="1:13" ht="21" customHeight="1">
      <c r="A30" s="195">
        <v>8</v>
      </c>
      <c r="B30" s="378" t="s">
        <v>217</v>
      </c>
      <c r="C30" s="379"/>
      <c r="D30" s="196">
        <f>'Koszty kredytów'!D34</f>
        <v>348240899.81</v>
      </c>
      <c r="E30" s="196">
        <f>'Koszty kredytów'!E34</f>
        <v>606965090.80999994</v>
      </c>
      <c r="F30" s="196">
        <f>'Koszty kredytów'!F34</f>
        <v>618146547.80999994</v>
      </c>
      <c r="G30" s="196">
        <f>'Koszty kredytów'!G34</f>
        <v>555031675.80999994</v>
      </c>
      <c r="H30" s="196">
        <f>'Koszty kredytów'!H34</f>
        <v>462526399.80999994</v>
      </c>
      <c r="I30" s="196">
        <f>'Koszty kredytów'!I34</f>
        <v>370021123.80999994</v>
      </c>
      <c r="J30" s="196">
        <f>'Koszty kredytów'!J34</f>
        <v>277515847.80999994</v>
      </c>
      <c r="K30" s="196">
        <f>'Koszty kredytów'!K34</f>
        <v>185010571.80999994</v>
      </c>
      <c r="L30" s="196">
        <f>'Koszty kredytów'!L34</f>
        <v>92505295.809999943</v>
      </c>
      <c r="M30" s="196">
        <f>'Koszty kredytów'!M34</f>
        <v>-1.6000568866729736E-3</v>
      </c>
    </row>
    <row r="31" spans="1:13" ht="36" customHeight="1">
      <c r="A31" s="380"/>
      <c r="B31" s="190" t="s">
        <v>188</v>
      </c>
      <c r="C31" s="179" t="s">
        <v>218</v>
      </c>
      <c r="D31" s="179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</row>
    <row r="32" spans="1:13" ht="51" customHeight="1">
      <c r="A32" s="382"/>
      <c r="B32" s="190" t="s">
        <v>190</v>
      </c>
      <c r="C32" s="179" t="s">
        <v>219</v>
      </c>
      <c r="D32" s="179">
        <v>0</v>
      </c>
      <c r="E32" s="180">
        <v>0</v>
      </c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</row>
    <row r="33" spans="1:14" ht="21" customHeight="1">
      <c r="A33" s="197">
        <v>9</v>
      </c>
      <c r="B33" s="372" t="s">
        <v>220</v>
      </c>
      <c r="C33" s="373"/>
      <c r="D33" s="198"/>
      <c r="E33" s="180"/>
      <c r="F33" s="180"/>
      <c r="G33" s="180"/>
      <c r="H33" s="180"/>
      <c r="I33" s="180"/>
      <c r="J33" s="180"/>
      <c r="K33" s="180"/>
      <c r="L33" s="180"/>
      <c r="M33" s="180"/>
    </row>
    <row r="34" spans="1:14" ht="21" customHeight="1">
      <c r="A34" s="380"/>
      <c r="B34" s="190" t="s">
        <v>188</v>
      </c>
      <c r="C34" s="179" t="s">
        <v>221</v>
      </c>
      <c r="D34" s="312">
        <f>(D13+D14+D27)/D5</f>
        <v>2.8749219263707038E-2</v>
      </c>
      <c r="E34" s="312">
        <f t="shared" ref="E34:M34" si="5">(E13+E14+E27)/E5</f>
        <v>5.6260288957700799E-2</v>
      </c>
      <c r="F34" s="312">
        <f t="shared" si="5"/>
        <v>7.5778787330752953E-2</v>
      </c>
      <c r="G34" s="312">
        <f t="shared" si="5"/>
        <v>9.3550679427103656E-2</v>
      </c>
      <c r="H34" s="312">
        <f t="shared" si="5"/>
        <v>0.13981941317001381</v>
      </c>
      <c r="I34" s="312">
        <f t="shared" si="5"/>
        <v>0.14125056047677098</v>
      </c>
      <c r="J34" s="312">
        <f t="shared" si="5"/>
        <v>0.13481314005827796</v>
      </c>
      <c r="K34" s="312">
        <f t="shared" si="5"/>
        <v>0.12815158018652203</v>
      </c>
      <c r="L34" s="312">
        <f t="shared" si="5"/>
        <v>0.12155333313022831</v>
      </c>
      <c r="M34" s="312">
        <f t="shared" si="5"/>
        <v>0.11439640629305313</v>
      </c>
    </row>
    <row r="35" spans="1:14" ht="21" customHeight="1">
      <c r="A35" s="382"/>
      <c r="B35" s="190" t="s">
        <v>190</v>
      </c>
      <c r="C35" s="179" t="s">
        <v>222</v>
      </c>
      <c r="D35" s="312">
        <f>('wielkości początkowe'!D12+'wielkości początkowe'!E12+'wielkości początkowe'!F12)/3</f>
        <v>0.14717025849947621</v>
      </c>
      <c r="E35" s="312">
        <f>('wielkości początkowe'!E12+'wielkości początkowe'!F12+'wielkości początkowe'!G12)/3</f>
        <v>0.11071350836510353</v>
      </c>
      <c r="F35" s="312">
        <f>('wielkości początkowe'!F12+'wielkości początkowe'!G12+'wielkości początkowe'!H12)/3</f>
        <v>0.12444253362976887</v>
      </c>
      <c r="G35" s="312">
        <f>('wielkości początkowe'!G12+'wielkości początkowe'!H12+'wielkości początkowe'!I12)/3</f>
        <v>0.1526323812318694</v>
      </c>
      <c r="H35" s="312">
        <f>('wielkości początkowe'!H12+'wielkości początkowe'!I12+'wielkości początkowe'!J12)/3</f>
        <v>0.19762210411199752</v>
      </c>
      <c r="I35" s="312">
        <f>('wielkości początkowe'!I12+'wielkości początkowe'!J12+'wielkości początkowe'!K12)/3</f>
        <v>0.28380552775168805</v>
      </c>
      <c r="J35" s="312">
        <f>('wielkości początkowe'!J12+'wielkości początkowe'!K12+'wielkości początkowe'!L12)/3</f>
        <v>0.32043272067551221</v>
      </c>
      <c r="K35" s="312">
        <f>('wielkości początkowe'!K12+'wielkości początkowe'!L12+'wielkości początkowe'!M12)/3</f>
        <v>0.36070863213135879</v>
      </c>
      <c r="L35" s="312">
        <f>('wielkości początkowe'!L12+'wielkości początkowe'!M12+'wielkości początkowe'!N12)/3</f>
        <v>0.34998273502102811</v>
      </c>
      <c r="M35" s="312">
        <f>('wielkości początkowe'!M12+'wielkości początkowe'!N12+'wielkości początkowe'!O12)/3</f>
        <v>0.34638948441992296</v>
      </c>
    </row>
    <row r="36" spans="1:14" ht="21" customHeight="1">
      <c r="A36" s="197">
        <v>10</v>
      </c>
      <c r="B36" s="372" t="s">
        <v>223</v>
      </c>
      <c r="C36" s="373"/>
      <c r="D36" s="311" t="str">
        <f>IF(D34&lt;=D35,"TAK","NIE")</f>
        <v>TAK</v>
      </c>
      <c r="E36" s="311" t="str">
        <f t="shared" ref="E36:M36" si="6">IF(E34&lt;=E35,"TAK","NIE")</f>
        <v>TAK</v>
      </c>
      <c r="F36" s="311" t="str">
        <f t="shared" si="6"/>
        <v>TAK</v>
      </c>
      <c r="G36" s="311" t="str">
        <f t="shared" si="6"/>
        <v>TAK</v>
      </c>
      <c r="H36" s="311" t="str">
        <f t="shared" si="6"/>
        <v>TAK</v>
      </c>
      <c r="I36" s="311" t="str">
        <f t="shared" si="6"/>
        <v>TAK</v>
      </c>
      <c r="J36" s="311" t="str">
        <f t="shared" si="6"/>
        <v>TAK</v>
      </c>
      <c r="K36" s="311" t="str">
        <f t="shared" si="6"/>
        <v>TAK</v>
      </c>
      <c r="L36" s="311" t="str">
        <f t="shared" si="6"/>
        <v>TAK</v>
      </c>
      <c r="M36" s="311" t="str">
        <f t="shared" si="6"/>
        <v>TAK</v>
      </c>
    </row>
    <row r="37" spans="1:14" ht="37.5" customHeight="1">
      <c r="A37" s="197">
        <v>11</v>
      </c>
      <c r="B37" s="372" t="s">
        <v>224</v>
      </c>
      <c r="C37" s="373"/>
      <c r="D37" s="313">
        <f>(D13+D14+D27)/D5</f>
        <v>2.8749219263707038E-2</v>
      </c>
      <c r="E37" s="313">
        <f t="shared" ref="E37:M37" si="7">(E13+E14+E27)/E5</f>
        <v>5.6260288957700799E-2</v>
      </c>
      <c r="F37" s="313">
        <f t="shared" si="7"/>
        <v>7.5778787330752953E-2</v>
      </c>
      <c r="G37" s="313">
        <f t="shared" si="7"/>
        <v>9.3550679427103656E-2</v>
      </c>
      <c r="H37" s="313">
        <f t="shared" si="7"/>
        <v>0.13981941317001381</v>
      </c>
      <c r="I37" s="313">
        <f t="shared" si="7"/>
        <v>0.14125056047677098</v>
      </c>
      <c r="J37" s="313">
        <f t="shared" si="7"/>
        <v>0.13481314005827796</v>
      </c>
      <c r="K37" s="313">
        <f t="shared" si="7"/>
        <v>0.12815158018652203</v>
      </c>
      <c r="L37" s="313">
        <f t="shared" si="7"/>
        <v>0.12155333313022831</v>
      </c>
      <c r="M37" s="313">
        <f t="shared" si="7"/>
        <v>0.11439640629305313</v>
      </c>
      <c r="N37" s="199"/>
    </row>
    <row r="38" spans="1:14" ht="39" customHeight="1" thickBot="1">
      <c r="A38" s="200">
        <v>12</v>
      </c>
      <c r="B38" s="383" t="s">
        <v>225</v>
      </c>
      <c r="C38" s="384"/>
      <c r="D38" s="314">
        <f>(D30-D31-D32)/D5</f>
        <v>0.25250667007544958</v>
      </c>
      <c r="E38" s="314">
        <f t="shared" ref="E38:M38" si="8">(E30-E31-E32)/E5</f>
        <v>0.45663681921274241</v>
      </c>
      <c r="F38" s="314">
        <f t="shared" si="8"/>
        <v>0.37149802093938966</v>
      </c>
      <c r="G38" s="314">
        <f t="shared" si="8"/>
        <v>0.38251285586107009</v>
      </c>
      <c r="H38" s="314">
        <f t="shared" si="8"/>
        <v>0.51008587485454426</v>
      </c>
      <c r="I38" s="314">
        <f t="shared" si="8"/>
        <v>0.42511094217605028</v>
      </c>
      <c r="J38" s="314">
        <f t="shared" si="8"/>
        <v>0.3159618640415362</v>
      </c>
      <c r="K38" s="314">
        <f t="shared" si="8"/>
        <v>0.20928954446468812</v>
      </c>
      <c r="L38" s="314">
        <f t="shared" si="8"/>
        <v>0.10401015753170328</v>
      </c>
      <c r="M38" s="314">
        <f t="shared" si="8"/>
        <v>-1.7873903085706981E-12</v>
      </c>
      <c r="N38" s="199"/>
    </row>
    <row r="39" spans="1:14" ht="35.25" customHeight="1" thickBot="1">
      <c r="A39" s="201"/>
      <c r="B39" s="201"/>
      <c r="C39" s="202"/>
      <c r="D39" s="202"/>
      <c r="E39" s="203"/>
      <c r="F39" s="203"/>
      <c r="G39" s="203"/>
      <c r="H39" s="203"/>
      <c r="I39" s="203"/>
      <c r="J39" s="203"/>
      <c r="K39" s="203"/>
      <c r="L39" s="203"/>
      <c r="M39" s="203"/>
    </row>
    <row r="40" spans="1:14" ht="25.5" customHeight="1">
      <c r="A40" s="204">
        <v>13</v>
      </c>
      <c r="B40" s="378" t="s">
        <v>226</v>
      </c>
      <c r="C40" s="379"/>
      <c r="D40" s="205"/>
      <c r="E40" s="206"/>
      <c r="F40" s="207"/>
      <c r="G40" s="207"/>
      <c r="H40" s="207"/>
      <c r="I40" s="207"/>
      <c r="J40" s="207"/>
      <c r="K40" s="207"/>
      <c r="L40" s="207"/>
      <c r="M40" s="207"/>
    </row>
    <row r="41" spans="1:14" ht="21" customHeight="1">
      <c r="A41" s="380"/>
      <c r="B41" s="178" t="s">
        <v>188</v>
      </c>
      <c r="C41" s="179" t="s">
        <v>227</v>
      </c>
      <c r="D41" s="179"/>
      <c r="E41" s="208"/>
      <c r="F41" s="209"/>
      <c r="G41" s="210"/>
      <c r="H41" s="209"/>
      <c r="I41" s="210"/>
      <c r="J41" s="209"/>
      <c r="K41" s="210"/>
      <c r="L41" s="209"/>
      <c r="M41" s="208"/>
    </row>
    <row r="42" spans="1:14" ht="19.5" customHeight="1">
      <c r="A42" s="381"/>
      <c r="B42" s="178" t="s">
        <v>190</v>
      </c>
      <c r="C42" s="179" t="s">
        <v>228</v>
      </c>
      <c r="D42" s="179"/>
      <c r="E42" s="208"/>
      <c r="F42" s="209"/>
      <c r="G42" s="209"/>
      <c r="H42" s="209"/>
      <c r="I42" s="209"/>
      <c r="J42" s="209"/>
      <c r="K42" s="209"/>
      <c r="L42" s="209"/>
      <c r="M42" s="209"/>
    </row>
    <row r="43" spans="1:14" ht="18.75" customHeight="1">
      <c r="A43" s="381"/>
      <c r="B43" s="178" t="s">
        <v>192</v>
      </c>
      <c r="C43" s="179" t="s">
        <v>210</v>
      </c>
      <c r="D43" s="179"/>
      <c r="E43" s="208"/>
      <c r="F43" s="209"/>
      <c r="G43" s="209"/>
      <c r="H43" s="209"/>
      <c r="I43" s="209"/>
      <c r="J43" s="209"/>
      <c r="K43" s="209"/>
      <c r="L43" s="209"/>
      <c r="M43" s="209"/>
    </row>
    <row r="44" spans="1:14" ht="19.5" customHeight="1">
      <c r="A44" s="381"/>
      <c r="B44" s="178" t="s">
        <v>196</v>
      </c>
      <c r="C44" s="179" t="s">
        <v>229</v>
      </c>
      <c r="D44" s="179"/>
      <c r="E44" s="208"/>
      <c r="F44" s="209"/>
      <c r="G44" s="209"/>
      <c r="H44" s="209"/>
      <c r="I44" s="209"/>
      <c r="J44" s="209"/>
      <c r="K44" s="209"/>
      <c r="L44" s="209"/>
      <c r="M44" s="209"/>
    </row>
    <row r="45" spans="1:14" ht="19.5" customHeight="1">
      <c r="A45" s="381"/>
      <c r="B45" s="178" t="s">
        <v>198</v>
      </c>
      <c r="C45" s="179" t="s">
        <v>230</v>
      </c>
      <c r="D45" s="179"/>
      <c r="E45" s="208"/>
      <c r="F45" s="209"/>
      <c r="G45" s="209"/>
      <c r="H45" s="209"/>
      <c r="I45" s="209"/>
      <c r="J45" s="209"/>
      <c r="K45" s="209"/>
      <c r="L45" s="209"/>
      <c r="M45" s="209"/>
    </row>
    <row r="46" spans="1:14" ht="21.75" customHeight="1">
      <c r="A46" s="381"/>
      <c r="B46" s="178" t="s">
        <v>199</v>
      </c>
      <c r="C46" s="179" t="s">
        <v>231</v>
      </c>
      <c r="D46" s="179"/>
      <c r="E46" s="208"/>
      <c r="F46" s="209"/>
      <c r="G46" s="209"/>
      <c r="H46" s="209"/>
      <c r="I46" s="209"/>
      <c r="J46" s="209"/>
      <c r="K46" s="209"/>
      <c r="L46" s="209"/>
      <c r="M46" s="209"/>
    </row>
    <row r="47" spans="1:14" ht="22.5" customHeight="1" thickBot="1">
      <c r="A47" s="385"/>
      <c r="B47" s="211" t="s">
        <v>201</v>
      </c>
      <c r="C47" s="212" t="s">
        <v>232</v>
      </c>
      <c r="D47" s="212"/>
      <c r="E47" s="213"/>
      <c r="F47" s="214"/>
      <c r="G47" s="214"/>
      <c r="H47" s="214"/>
      <c r="I47" s="214"/>
      <c r="J47" s="214"/>
      <c r="K47" s="214"/>
      <c r="L47" s="214"/>
      <c r="M47" s="214"/>
    </row>
    <row r="48" spans="1:14" ht="36.75" customHeight="1" thickBot="1">
      <c r="A48" s="215"/>
      <c r="B48" s="215"/>
      <c r="C48" s="216"/>
      <c r="D48" s="216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ht="28.5" customHeight="1">
      <c r="A49" s="204">
        <v>14</v>
      </c>
      <c r="B49" s="378" t="s">
        <v>233</v>
      </c>
      <c r="C49" s="379"/>
      <c r="D49" s="205"/>
      <c r="E49" s="218"/>
      <c r="F49" s="219"/>
      <c r="G49" s="218"/>
      <c r="H49" s="219"/>
      <c r="I49" s="218"/>
      <c r="J49" s="219"/>
      <c r="K49" s="218"/>
      <c r="L49" s="219"/>
      <c r="M49" s="218"/>
    </row>
    <row r="50" spans="1:13" ht="19.5" customHeight="1">
      <c r="A50" s="380"/>
      <c r="B50" s="178" t="s">
        <v>188</v>
      </c>
      <c r="C50" s="179" t="s">
        <v>234</v>
      </c>
      <c r="D50" s="179"/>
      <c r="E50" s="180"/>
      <c r="F50" s="220"/>
      <c r="G50" s="180"/>
      <c r="H50" s="220"/>
      <c r="I50" s="180"/>
      <c r="J50" s="220"/>
      <c r="K50" s="180"/>
      <c r="L50" s="220"/>
      <c r="M50" s="180"/>
    </row>
    <row r="51" spans="1:13" ht="21" customHeight="1">
      <c r="A51" s="381"/>
      <c r="B51" s="178" t="s">
        <v>190</v>
      </c>
      <c r="C51" s="179" t="s">
        <v>235</v>
      </c>
      <c r="D51" s="179"/>
      <c r="E51" s="180"/>
      <c r="F51" s="220"/>
      <c r="G51" s="180"/>
      <c r="H51" s="220"/>
      <c r="I51" s="180"/>
      <c r="J51" s="220"/>
      <c r="K51" s="180"/>
      <c r="L51" s="220"/>
      <c r="M51" s="180"/>
    </row>
    <row r="52" spans="1:13" ht="21" customHeight="1">
      <c r="A52" s="381"/>
      <c r="B52" s="178" t="s">
        <v>192</v>
      </c>
      <c r="C52" s="179" t="s">
        <v>236</v>
      </c>
      <c r="D52" s="179"/>
      <c r="E52" s="180"/>
      <c r="F52" s="220"/>
      <c r="G52" s="180"/>
      <c r="H52" s="220"/>
      <c r="I52" s="180"/>
      <c r="J52" s="220"/>
      <c r="K52" s="180"/>
      <c r="L52" s="220"/>
      <c r="M52" s="180"/>
    </row>
    <row r="53" spans="1:13" ht="20.25" customHeight="1">
      <c r="A53" s="381"/>
      <c r="B53" s="178" t="s">
        <v>196</v>
      </c>
      <c r="C53" s="179" t="s">
        <v>237</v>
      </c>
      <c r="D53" s="179"/>
      <c r="E53" s="180"/>
      <c r="F53" s="220"/>
      <c r="G53" s="180"/>
      <c r="H53" s="220"/>
      <c r="I53" s="180"/>
      <c r="J53" s="220"/>
      <c r="K53" s="180"/>
      <c r="L53" s="220"/>
      <c r="M53" s="180"/>
    </row>
    <row r="54" spans="1:13" ht="18.75" customHeight="1">
      <c r="A54" s="382"/>
      <c r="B54" s="178" t="s">
        <v>198</v>
      </c>
      <c r="C54" s="179" t="s">
        <v>238</v>
      </c>
      <c r="D54" s="179"/>
      <c r="E54" s="180"/>
      <c r="F54" s="220"/>
      <c r="G54" s="180"/>
      <c r="H54" s="220"/>
      <c r="I54" s="180"/>
      <c r="J54" s="220"/>
      <c r="K54" s="180"/>
      <c r="L54" s="220"/>
      <c r="M54" s="180"/>
    </row>
    <row r="55" spans="1:13" ht="24.95" customHeight="1">
      <c r="A55" s="189">
        <v>15</v>
      </c>
      <c r="B55" s="372" t="s">
        <v>239</v>
      </c>
      <c r="C55" s="373"/>
      <c r="D55" s="198"/>
      <c r="E55" s="180"/>
      <c r="F55" s="220"/>
      <c r="G55" s="180"/>
      <c r="H55" s="220"/>
      <c r="I55" s="180"/>
      <c r="J55" s="220"/>
      <c r="K55" s="180"/>
      <c r="L55" s="220"/>
      <c r="M55" s="180"/>
    </row>
    <row r="56" spans="1:13" ht="21.75" customHeight="1">
      <c r="A56" s="380"/>
      <c r="B56" s="178" t="s">
        <v>188</v>
      </c>
      <c r="C56" s="179" t="s">
        <v>240</v>
      </c>
      <c r="D56" s="179"/>
      <c r="E56" s="180"/>
      <c r="F56" s="220"/>
      <c r="G56" s="180"/>
      <c r="H56" s="220"/>
      <c r="I56" s="180"/>
      <c r="J56" s="220"/>
      <c r="K56" s="180"/>
      <c r="L56" s="220"/>
      <c r="M56" s="180"/>
    </row>
    <row r="57" spans="1:13" ht="21.75" customHeight="1">
      <c r="A57" s="381"/>
      <c r="B57" s="178" t="s">
        <v>190</v>
      </c>
      <c r="C57" s="179" t="s">
        <v>241</v>
      </c>
      <c r="D57" s="179"/>
      <c r="E57" s="180"/>
      <c r="F57" s="220"/>
      <c r="G57" s="180"/>
      <c r="H57" s="220"/>
      <c r="I57" s="180"/>
      <c r="J57" s="220"/>
      <c r="K57" s="180"/>
      <c r="L57" s="220"/>
      <c r="M57" s="180"/>
    </row>
    <row r="58" spans="1:13" ht="20.25" customHeight="1">
      <c r="A58" s="381"/>
      <c r="B58" s="178" t="s">
        <v>192</v>
      </c>
      <c r="C58" s="179" t="s">
        <v>232</v>
      </c>
      <c r="D58" s="179"/>
      <c r="E58" s="180"/>
      <c r="F58" s="220"/>
      <c r="G58" s="180"/>
      <c r="H58" s="220"/>
      <c r="I58" s="180"/>
      <c r="J58" s="220"/>
      <c r="K58" s="180"/>
      <c r="L58" s="220"/>
      <c r="M58" s="180"/>
    </row>
    <row r="59" spans="1:13" ht="21" customHeight="1">
      <c r="A59" s="381"/>
      <c r="B59" s="178" t="s">
        <v>196</v>
      </c>
      <c r="C59" s="179" t="s">
        <v>229</v>
      </c>
      <c r="D59" s="179"/>
      <c r="E59" s="180"/>
      <c r="F59" s="220"/>
      <c r="G59" s="180"/>
      <c r="H59" s="220"/>
      <c r="I59" s="180"/>
      <c r="J59" s="220"/>
      <c r="K59" s="180"/>
      <c r="L59" s="220"/>
      <c r="M59" s="180"/>
    </row>
    <row r="60" spans="1:13" ht="20.25" customHeight="1">
      <c r="A60" s="381"/>
      <c r="B60" s="178" t="s">
        <v>198</v>
      </c>
      <c r="C60" s="179" t="s">
        <v>231</v>
      </c>
      <c r="D60" s="179"/>
      <c r="E60" s="180"/>
      <c r="F60" s="220"/>
      <c r="G60" s="180"/>
      <c r="H60" s="220"/>
      <c r="I60" s="180"/>
      <c r="J60" s="220"/>
      <c r="K60" s="180"/>
      <c r="L60" s="220"/>
      <c r="M60" s="180"/>
    </row>
    <row r="61" spans="1:13" ht="21" customHeight="1">
      <c r="A61" s="381"/>
      <c r="B61" s="178" t="s">
        <v>199</v>
      </c>
      <c r="C61" s="179" t="s">
        <v>228</v>
      </c>
      <c r="D61" s="179"/>
      <c r="E61" s="180"/>
      <c r="F61" s="220"/>
      <c r="G61" s="180"/>
      <c r="H61" s="220"/>
      <c r="I61" s="180"/>
      <c r="J61" s="220"/>
      <c r="K61" s="180"/>
      <c r="L61" s="220"/>
      <c r="M61" s="180"/>
    </row>
    <row r="62" spans="1:13" ht="21.75" customHeight="1" thickBot="1">
      <c r="A62" s="385"/>
      <c r="B62" s="211" t="s">
        <v>201</v>
      </c>
      <c r="C62" s="212" t="s">
        <v>210</v>
      </c>
      <c r="D62" s="212"/>
      <c r="E62" s="221"/>
      <c r="F62" s="222"/>
      <c r="G62" s="221"/>
      <c r="H62" s="222"/>
      <c r="I62" s="221"/>
      <c r="J62" s="222"/>
      <c r="K62" s="221"/>
      <c r="L62" s="222"/>
      <c r="M62" s="221"/>
    </row>
  </sheetData>
  <mergeCells count="27">
    <mergeCell ref="A1:M1"/>
    <mergeCell ref="A6:A8"/>
    <mergeCell ref="B33:C33"/>
    <mergeCell ref="B4:C4"/>
    <mergeCell ref="B5:C5"/>
    <mergeCell ref="B26:C26"/>
    <mergeCell ref="A27:A28"/>
    <mergeCell ref="B29:C29"/>
    <mergeCell ref="B30:C30"/>
    <mergeCell ref="A31:A32"/>
    <mergeCell ref="B9:C9"/>
    <mergeCell ref="A2:M2"/>
    <mergeCell ref="A50:A54"/>
    <mergeCell ref="B55:C55"/>
    <mergeCell ref="A56:A62"/>
    <mergeCell ref="B36:C36"/>
    <mergeCell ref="B37:C37"/>
    <mergeCell ref="B38:C38"/>
    <mergeCell ref="B40:C40"/>
    <mergeCell ref="A41:A47"/>
    <mergeCell ref="B49:C49"/>
    <mergeCell ref="A34:A35"/>
    <mergeCell ref="A10:A17"/>
    <mergeCell ref="B18:C18"/>
    <mergeCell ref="B19:C19"/>
    <mergeCell ref="B20:C20"/>
    <mergeCell ref="A21:A25"/>
  </mergeCells>
  <pageMargins left="0.31496062992125984" right="0.27559055118110237" top="0.43307086614173229" bottom="0.43307086614173229" header="0.27559055118110237" footer="0.31496062992125984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4"/>
  <sheetViews>
    <sheetView topLeftCell="A29" zoomScale="80" zoomScaleNormal="80" workbookViewId="0">
      <selection activeCell="D56" sqref="D56"/>
    </sheetView>
  </sheetViews>
  <sheetFormatPr defaultRowHeight="14.25"/>
  <cols>
    <col min="1" max="1" width="5.5" customWidth="1"/>
    <col min="2" max="2" width="50.25" customWidth="1"/>
    <col min="3" max="3" width="16.25" hidden="1" customWidth="1"/>
    <col min="4" max="6" width="14.75" bestFit="1" customWidth="1"/>
    <col min="7" max="7" width="13" bestFit="1" customWidth="1"/>
    <col min="8" max="12" width="13.125" bestFit="1" customWidth="1"/>
    <col min="13" max="14" width="13.125" hidden="1" customWidth="1"/>
    <col min="15" max="15" width="12.5" hidden="1" customWidth="1"/>
    <col min="254" max="254" width="5.5" customWidth="1"/>
    <col min="255" max="255" width="50.25" customWidth="1"/>
    <col min="256" max="258" width="0" hidden="1" customWidth="1"/>
    <col min="259" max="259" width="14.875" bestFit="1" customWidth="1"/>
    <col min="260" max="262" width="14.75" bestFit="1" customWidth="1"/>
    <col min="263" max="263" width="13" bestFit="1" customWidth="1"/>
    <col min="264" max="268" width="13.125" bestFit="1" customWidth="1"/>
    <col min="269" max="271" width="0" hidden="1" customWidth="1"/>
    <col min="510" max="510" width="5.5" customWidth="1"/>
    <col min="511" max="511" width="50.25" customWidth="1"/>
    <col min="512" max="514" width="0" hidden="1" customWidth="1"/>
    <col min="515" max="515" width="14.875" bestFit="1" customWidth="1"/>
    <col min="516" max="518" width="14.75" bestFit="1" customWidth="1"/>
    <col min="519" max="519" width="13" bestFit="1" customWidth="1"/>
    <col min="520" max="524" width="13.125" bestFit="1" customWidth="1"/>
    <col min="525" max="527" width="0" hidden="1" customWidth="1"/>
    <col min="766" max="766" width="5.5" customWidth="1"/>
    <col min="767" max="767" width="50.25" customWidth="1"/>
    <col min="768" max="770" width="0" hidden="1" customWidth="1"/>
    <col min="771" max="771" width="14.875" bestFit="1" customWidth="1"/>
    <col min="772" max="774" width="14.75" bestFit="1" customWidth="1"/>
    <col min="775" max="775" width="13" bestFit="1" customWidth="1"/>
    <col min="776" max="780" width="13.125" bestFit="1" customWidth="1"/>
    <col min="781" max="783" width="0" hidden="1" customWidth="1"/>
    <col min="1022" max="1022" width="5.5" customWidth="1"/>
    <col min="1023" max="1023" width="50.25" customWidth="1"/>
    <col min="1024" max="1026" width="0" hidden="1" customWidth="1"/>
    <col min="1027" max="1027" width="14.875" bestFit="1" customWidth="1"/>
    <col min="1028" max="1030" width="14.75" bestFit="1" customWidth="1"/>
    <col min="1031" max="1031" width="13" bestFit="1" customWidth="1"/>
    <col min="1032" max="1036" width="13.125" bestFit="1" customWidth="1"/>
    <col min="1037" max="1039" width="0" hidden="1" customWidth="1"/>
    <col min="1278" max="1278" width="5.5" customWidth="1"/>
    <col min="1279" max="1279" width="50.25" customWidth="1"/>
    <col min="1280" max="1282" width="0" hidden="1" customWidth="1"/>
    <col min="1283" max="1283" width="14.875" bestFit="1" customWidth="1"/>
    <col min="1284" max="1286" width="14.75" bestFit="1" customWidth="1"/>
    <col min="1287" max="1287" width="13" bestFit="1" customWidth="1"/>
    <col min="1288" max="1292" width="13.125" bestFit="1" customWidth="1"/>
    <col min="1293" max="1295" width="0" hidden="1" customWidth="1"/>
    <col min="1534" max="1534" width="5.5" customWidth="1"/>
    <col min="1535" max="1535" width="50.25" customWidth="1"/>
    <col min="1536" max="1538" width="0" hidden="1" customWidth="1"/>
    <col min="1539" max="1539" width="14.875" bestFit="1" customWidth="1"/>
    <col min="1540" max="1542" width="14.75" bestFit="1" customWidth="1"/>
    <col min="1543" max="1543" width="13" bestFit="1" customWidth="1"/>
    <col min="1544" max="1548" width="13.125" bestFit="1" customWidth="1"/>
    <col min="1549" max="1551" width="0" hidden="1" customWidth="1"/>
    <col min="1790" max="1790" width="5.5" customWidth="1"/>
    <col min="1791" max="1791" width="50.25" customWidth="1"/>
    <col min="1792" max="1794" width="0" hidden="1" customWidth="1"/>
    <col min="1795" max="1795" width="14.875" bestFit="1" customWidth="1"/>
    <col min="1796" max="1798" width="14.75" bestFit="1" customWidth="1"/>
    <col min="1799" max="1799" width="13" bestFit="1" customWidth="1"/>
    <col min="1800" max="1804" width="13.125" bestFit="1" customWidth="1"/>
    <col min="1805" max="1807" width="0" hidden="1" customWidth="1"/>
    <col min="2046" max="2046" width="5.5" customWidth="1"/>
    <col min="2047" max="2047" width="50.25" customWidth="1"/>
    <col min="2048" max="2050" width="0" hidden="1" customWidth="1"/>
    <col min="2051" max="2051" width="14.875" bestFit="1" customWidth="1"/>
    <col min="2052" max="2054" width="14.75" bestFit="1" customWidth="1"/>
    <col min="2055" max="2055" width="13" bestFit="1" customWidth="1"/>
    <col min="2056" max="2060" width="13.125" bestFit="1" customWidth="1"/>
    <col min="2061" max="2063" width="0" hidden="1" customWidth="1"/>
    <col min="2302" max="2302" width="5.5" customWidth="1"/>
    <col min="2303" max="2303" width="50.25" customWidth="1"/>
    <col min="2304" max="2306" width="0" hidden="1" customWidth="1"/>
    <col min="2307" max="2307" width="14.875" bestFit="1" customWidth="1"/>
    <col min="2308" max="2310" width="14.75" bestFit="1" customWidth="1"/>
    <col min="2311" max="2311" width="13" bestFit="1" customWidth="1"/>
    <col min="2312" max="2316" width="13.125" bestFit="1" customWidth="1"/>
    <col min="2317" max="2319" width="0" hidden="1" customWidth="1"/>
    <col min="2558" max="2558" width="5.5" customWidth="1"/>
    <col min="2559" max="2559" width="50.25" customWidth="1"/>
    <col min="2560" max="2562" width="0" hidden="1" customWidth="1"/>
    <col min="2563" max="2563" width="14.875" bestFit="1" customWidth="1"/>
    <col min="2564" max="2566" width="14.75" bestFit="1" customWidth="1"/>
    <col min="2567" max="2567" width="13" bestFit="1" customWidth="1"/>
    <col min="2568" max="2572" width="13.125" bestFit="1" customWidth="1"/>
    <col min="2573" max="2575" width="0" hidden="1" customWidth="1"/>
    <col min="2814" max="2814" width="5.5" customWidth="1"/>
    <col min="2815" max="2815" width="50.25" customWidth="1"/>
    <col min="2816" max="2818" width="0" hidden="1" customWidth="1"/>
    <col min="2819" max="2819" width="14.875" bestFit="1" customWidth="1"/>
    <col min="2820" max="2822" width="14.75" bestFit="1" customWidth="1"/>
    <col min="2823" max="2823" width="13" bestFit="1" customWidth="1"/>
    <col min="2824" max="2828" width="13.125" bestFit="1" customWidth="1"/>
    <col min="2829" max="2831" width="0" hidden="1" customWidth="1"/>
    <col min="3070" max="3070" width="5.5" customWidth="1"/>
    <col min="3071" max="3071" width="50.25" customWidth="1"/>
    <col min="3072" max="3074" width="0" hidden="1" customWidth="1"/>
    <col min="3075" max="3075" width="14.875" bestFit="1" customWidth="1"/>
    <col min="3076" max="3078" width="14.75" bestFit="1" customWidth="1"/>
    <col min="3079" max="3079" width="13" bestFit="1" customWidth="1"/>
    <col min="3080" max="3084" width="13.125" bestFit="1" customWidth="1"/>
    <col min="3085" max="3087" width="0" hidden="1" customWidth="1"/>
    <col min="3326" max="3326" width="5.5" customWidth="1"/>
    <col min="3327" max="3327" width="50.25" customWidth="1"/>
    <col min="3328" max="3330" width="0" hidden="1" customWidth="1"/>
    <col min="3331" max="3331" width="14.875" bestFit="1" customWidth="1"/>
    <col min="3332" max="3334" width="14.75" bestFit="1" customWidth="1"/>
    <col min="3335" max="3335" width="13" bestFit="1" customWidth="1"/>
    <col min="3336" max="3340" width="13.125" bestFit="1" customWidth="1"/>
    <col min="3341" max="3343" width="0" hidden="1" customWidth="1"/>
    <col min="3582" max="3582" width="5.5" customWidth="1"/>
    <col min="3583" max="3583" width="50.25" customWidth="1"/>
    <col min="3584" max="3586" width="0" hidden="1" customWidth="1"/>
    <col min="3587" max="3587" width="14.875" bestFit="1" customWidth="1"/>
    <col min="3588" max="3590" width="14.75" bestFit="1" customWidth="1"/>
    <col min="3591" max="3591" width="13" bestFit="1" customWidth="1"/>
    <col min="3592" max="3596" width="13.125" bestFit="1" customWidth="1"/>
    <col min="3597" max="3599" width="0" hidden="1" customWidth="1"/>
    <col min="3838" max="3838" width="5.5" customWidth="1"/>
    <col min="3839" max="3839" width="50.25" customWidth="1"/>
    <col min="3840" max="3842" width="0" hidden="1" customWidth="1"/>
    <col min="3843" max="3843" width="14.875" bestFit="1" customWidth="1"/>
    <col min="3844" max="3846" width="14.75" bestFit="1" customWidth="1"/>
    <col min="3847" max="3847" width="13" bestFit="1" customWidth="1"/>
    <col min="3848" max="3852" width="13.125" bestFit="1" customWidth="1"/>
    <col min="3853" max="3855" width="0" hidden="1" customWidth="1"/>
    <col min="4094" max="4094" width="5.5" customWidth="1"/>
    <col min="4095" max="4095" width="50.25" customWidth="1"/>
    <col min="4096" max="4098" width="0" hidden="1" customWidth="1"/>
    <col min="4099" max="4099" width="14.875" bestFit="1" customWidth="1"/>
    <col min="4100" max="4102" width="14.75" bestFit="1" customWidth="1"/>
    <col min="4103" max="4103" width="13" bestFit="1" customWidth="1"/>
    <col min="4104" max="4108" width="13.125" bestFit="1" customWidth="1"/>
    <col min="4109" max="4111" width="0" hidden="1" customWidth="1"/>
    <col min="4350" max="4350" width="5.5" customWidth="1"/>
    <col min="4351" max="4351" width="50.25" customWidth="1"/>
    <col min="4352" max="4354" width="0" hidden="1" customWidth="1"/>
    <col min="4355" max="4355" width="14.875" bestFit="1" customWidth="1"/>
    <col min="4356" max="4358" width="14.75" bestFit="1" customWidth="1"/>
    <col min="4359" max="4359" width="13" bestFit="1" customWidth="1"/>
    <col min="4360" max="4364" width="13.125" bestFit="1" customWidth="1"/>
    <col min="4365" max="4367" width="0" hidden="1" customWidth="1"/>
    <col min="4606" max="4606" width="5.5" customWidth="1"/>
    <col min="4607" max="4607" width="50.25" customWidth="1"/>
    <col min="4608" max="4610" width="0" hidden="1" customWidth="1"/>
    <col min="4611" max="4611" width="14.875" bestFit="1" customWidth="1"/>
    <col min="4612" max="4614" width="14.75" bestFit="1" customWidth="1"/>
    <col min="4615" max="4615" width="13" bestFit="1" customWidth="1"/>
    <col min="4616" max="4620" width="13.125" bestFit="1" customWidth="1"/>
    <col min="4621" max="4623" width="0" hidden="1" customWidth="1"/>
    <col min="4862" max="4862" width="5.5" customWidth="1"/>
    <col min="4863" max="4863" width="50.25" customWidth="1"/>
    <col min="4864" max="4866" width="0" hidden="1" customWidth="1"/>
    <col min="4867" max="4867" width="14.875" bestFit="1" customWidth="1"/>
    <col min="4868" max="4870" width="14.75" bestFit="1" customWidth="1"/>
    <col min="4871" max="4871" width="13" bestFit="1" customWidth="1"/>
    <col min="4872" max="4876" width="13.125" bestFit="1" customWidth="1"/>
    <col min="4877" max="4879" width="0" hidden="1" customWidth="1"/>
    <col min="5118" max="5118" width="5.5" customWidth="1"/>
    <col min="5119" max="5119" width="50.25" customWidth="1"/>
    <col min="5120" max="5122" width="0" hidden="1" customWidth="1"/>
    <col min="5123" max="5123" width="14.875" bestFit="1" customWidth="1"/>
    <col min="5124" max="5126" width="14.75" bestFit="1" customWidth="1"/>
    <col min="5127" max="5127" width="13" bestFit="1" customWidth="1"/>
    <col min="5128" max="5132" width="13.125" bestFit="1" customWidth="1"/>
    <col min="5133" max="5135" width="0" hidden="1" customWidth="1"/>
    <col min="5374" max="5374" width="5.5" customWidth="1"/>
    <col min="5375" max="5375" width="50.25" customWidth="1"/>
    <col min="5376" max="5378" width="0" hidden="1" customWidth="1"/>
    <col min="5379" max="5379" width="14.875" bestFit="1" customWidth="1"/>
    <col min="5380" max="5382" width="14.75" bestFit="1" customWidth="1"/>
    <col min="5383" max="5383" width="13" bestFit="1" customWidth="1"/>
    <col min="5384" max="5388" width="13.125" bestFit="1" customWidth="1"/>
    <col min="5389" max="5391" width="0" hidden="1" customWidth="1"/>
    <col min="5630" max="5630" width="5.5" customWidth="1"/>
    <col min="5631" max="5631" width="50.25" customWidth="1"/>
    <col min="5632" max="5634" width="0" hidden="1" customWidth="1"/>
    <col min="5635" max="5635" width="14.875" bestFit="1" customWidth="1"/>
    <col min="5636" max="5638" width="14.75" bestFit="1" customWidth="1"/>
    <col min="5639" max="5639" width="13" bestFit="1" customWidth="1"/>
    <col min="5640" max="5644" width="13.125" bestFit="1" customWidth="1"/>
    <col min="5645" max="5647" width="0" hidden="1" customWidth="1"/>
    <col min="5886" max="5886" width="5.5" customWidth="1"/>
    <col min="5887" max="5887" width="50.25" customWidth="1"/>
    <col min="5888" max="5890" width="0" hidden="1" customWidth="1"/>
    <col min="5891" max="5891" width="14.875" bestFit="1" customWidth="1"/>
    <col min="5892" max="5894" width="14.75" bestFit="1" customWidth="1"/>
    <col min="5895" max="5895" width="13" bestFit="1" customWidth="1"/>
    <col min="5896" max="5900" width="13.125" bestFit="1" customWidth="1"/>
    <col min="5901" max="5903" width="0" hidden="1" customWidth="1"/>
    <col min="6142" max="6142" width="5.5" customWidth="1"/>
    <col min="6143" max="6143" width="50.25" customWidth="1"/>
    <col min="6144" max="6146" width="0" hidden="1" customWidth="1"/>
    <col min="6147" max="6147" width="14.875" bestFit="1" customWidth="1"/>
    <col min="6148" max="6150" width="14.75" bestFit="1" customWidth="1"/>
    <col min="6151" max="6151" width="13" bestFit="1" customWidth="1"/>
    <col min="6152" max="6156" width="13.125" bestFit="1" customWidth="1"/>
    <col min="6157" max="6159" width="0" hidden="1" customWidth="1"/>
    <col min="6398" max="6398" width="5.5" customWidth="1"/>
    <col min="6399" max="6399" width="50.25" customWidth="1"/>
    <col min="6400" max="6402" width="0" hidden="1" customWidth="1"/>
    <col min="6403" max="6403" width="14.875" bestFit="1" customWidth="1"/>
    <col min="6404" max="6406" width="14.75" bestFit="1" customWidth="1"/>
    <col min="6407" max="6407" width="13" bestFit="1" customWidth="1"/>
    <col min="6408" max="6412" width="13.125" bestFit="1" customWidth="1"/>
    <col min="6413" max="6415" width="0" hidden="1" customWidth="1"/>
    <col min="6654" max="6654" width="5.5" customWidth="1"/>
    <col min="6655" max="6655" width="50.25" customWidth="1"/>
    <col min="6656" max="6658" width="0" hidden="1" customWidth="1"/>
    <col min="6659" max="6659" width="14.875" bestFit="1" customWidth="1"/>
    <col min="6660" max="6662" width="14.75" bestFit="1" customWidth="1"/>
    <col min="6663" max="6663" width="13" bestFit="1" customWidth="1"/>
    <col min="6664" max="6668" width="13.125" bestFit="1" customWidth="1"/>
    <col min="6669" max="6671" width="0" hidden="1" customWidth="1"/>
    <col min="6910" max="6910" width="5.5" customWidth="1"/>
    <col min="6911" max="6911" width="50.25" customWidth="1"/>
    <col min="6912" max="6914" width="0" hidden="1" customWidth="1"/>
    <col min="6915" max="6915" width="14.875" bestFit="1" customWidth="1"/>
    <col min="6916" max="6918" width="14.75" bestFit="1" customWidth="1"/>
    <col min="6919" max="6919" width="13" bestFit="1" customWidth="1"/>
    <col min="6920" max="6924" width="13.125" bestFit="1" customWidth="1"/>
    <col min="6925" max="6927" width="0" hidden="1" customWidth="1"/>
    <col min="7166" max="7166" width="5.5" customWidth="1"/>
    <col min="7167" max="7167" width="50.25" customWidth="1"/>
    <col min="7168" max="7170" width="0" hidden="1" customWidth="1"/>
    <col min="7171" max="7171" width="14.875" bestFit="1" customWidth="1"/>
    <col min="7172" max="7174" width="14.75" bestFit="1" customWidth="1"/>
    <col min="7175" max="7175" width="13" bestFit="1" customWidth="1"/>
    <col min="7176" max="7180" width="13.125" bestFit="1" customWidth="1"/>
    <col min="7181" max="7183" width="0" hidden="1" customWidth="1"/>
    <col min="7422" max="7422" width="5.5" customWidth="1"/>
    <col min="7423" max="7423" width="50.25" customWidth="1"/>
    <col min="7424" max="7426" width="0" hidden="1" customWidth="1"/>
    <col min="7427" max="7427" width="14.875" bestFit="1" customWidth="1"/>
    <col min="7428" max="7430" width="14.75" bestFit="1" customWidth="1"/>
    <col min="7431" max="7431" width="13" bestFit="1" customWidth="1"/>
    <col min="7432" max="7436" width="13.125" bestFit="1" customWidth="1"/>
    <col min="7437" max="7439" width="0" hidden="1" customWidth="1"/>
    <col min="7678" max="7678" width="5.5" customWidth="1"/>
    <col min="7679" max="7679" width="50.25" customWidth="1"/>
    <col min="7680" max="7682" width="0" hidden="1" customWidth="1"/>
    <col min="7683" max="7683" width="14.875" bestFit="1" customWidth="1"/>
    <col min="7684" max="7686" width="14.75" bestFit="1" customWidth="1"/>
    <col min="7687" max="7687" width="13" bestFit="1" customWidth="1"/>
    <col min="7688" max="7692" width="13.125" bestFit="1" customWidth="1"/>
    <col min="7693" max="7695" width="0" hidden="1" customWidth="1"/>
    <col min="7934" max="7934" width="5.5" customWidth="1"/>
    <col min="7935" max="7935" width="50.25" customWidth="1"/>
    <col min="7936" max="7938" width="0" hidden="1" customWidth="1"/>
    <col min="7939" max="7939" width="14.875" bestFit="1" customWidth="1"/>
    <col min="7940" max="7942" width="14.75" bestFit="1" customWidth="1"/>
    <col min="7943" max="7943" width="13" bestFit="1" customWidth="1"/>
    <col min="7944" max="7948" width="13.125" bestFit="1" customWidth="1"/>
    <col min="7949" max="7951" width="0" hidden="1" customWidth="1"/>
    <col min="8190" max="8190" width="5.5" customWidth="1"/>
    <col min="8191" max="8191" width="50.25" customWidth="1"/>
    <col min="8192" max="8194" width="0" hidden="1" customWidth="1"/>
    <col min="8195" max="8195" width="14.875" bestFit="1" customWidth="1"/>
    <col min="8196" max="8198" width="14.75" bestFit="1" customWidth="1"/>
    <col min="8199" max="8199" width="13" bestFit="1" customWidth="1"/>
    <col min="8200" max="8204" width="13.125" bestFit="1" customWidth="1"/>
    <col min="8205" max="8207" width="0" hidden="1" customWidth="1"/>
    <col min="8446" max="8446" width="5.5" customWidth="1"/>
    <col min="8447" max="8447" width="50.25" customWidth="1"/>
    <col min="8448" max="8450" width="0" hidden="1" customWidth="1"/>
    <col min="8451" max="8451" width="14.875" bestFit="1" customWidth="1"/>
    <col min="8452" max="8454" width="14.75" bestFit="1" customWidth="1"/>
    <col min="8455" max="8455" width="13" bestFit="1" customWidth="1"/>
    <col min="8456" max="8460" width="13.125" bestFit="1" customWidth="1"/>
    <col min="8461" max="8463" width="0" hidden="1" customWidth="1"/>
    <col min="8702" max="8702" width="5.5" customWidth="1"/>
    <col min="8703" max="8703" width="50.25" customWidth="1"/>
    <col min="8704" max="8706" width="0" hidden="1" customWidth="1"/>
    <col min="8707" max="8707" width="14.875" bestFit="1" customWidth="1"/>
    <col min="8708" max="8710" width="14.75" bestFit="1" customWidth="1"/>
    <col min="8711" max="8711" width="13" bestFit="1" customWidth="1"/>
    <col min="8712" max="8716" width="13.125" bestFit="1" customWidth="1"/>
    <col min="8717" max="8719" width="0" hidden="1" customWidth="1"/>
    <col min="8958" max="8958" width="5.5" customWidth="1"/>
    <col min="8959" max="8959" width="50.25" customWidth="1"/>
    <col min="8960" max="8962" width="0" hidden="1" customWidth="1"/>
    <col min="8963" max="8963" width="14.875" bestFit="1" customWidth="1"/>
    <col min="8964" max="8966" width="14.75" bestFit="1" customWidth="1"/>
    <col min="8967" max="8967" width="13" bestFit="1" customWidth="1"/>
    <col min="8968" max="8972" width="13.125" bestFit="1" customWidth="1"/>
    <col min="8973" max="8975" width="0" hidden="1" customWidth="1"/>
    <col min="9214" max="9214" width="5.5" customWidth="1"/>
    <col min="9215" max="9215" width="50.25" customWidth="1"/>
    <col min="9216" max="9218" width="0" hidden="1" customWidth="1"/>
    <col min="9219" max="9219" width="14.875" bestFit="1" customWidth="1"/>
    <col min="9220" max="9222" width="14.75" bestFit="1" customWidth="1"/>
    <col min="9223" max="9223" width="13" bestFit="1" customWidth="1"/>
    <col min="9224" max="9228" width="13.125" bestFit="1" customWidth="1"/>
    <col min="9229" max="9231" width="0" hidden="1" customWidth="1"/>
    <col min="9470" max="9470" width="5.5" customWidth="1"/>
    <col min="9471" max="9471" width="50.25" customWidth="1"/>
    <col min="9472" max="9474" width="0" hidden="1" customWidth="1"/>
    <col min="9475" max="9475" width="14.875" bestFit="1" customWidth="1"/>
    <col min="9476" max="9478" width="14.75" bestFit="1" customWidth="1"/>
    <col min="9479" max="9479" width="13" bestFit="1" customWidth="1"/>
    <col min="9480" max="9484" width="13.125" bestFit="1" customWidth="1"/>
    <col min="9485" max="9487" width="0" hidden="1" customWidth="1"/>
    <col min="9726" max="9726" width="5.5" customWidth="1"/>
    <col min="9727" max="9727" width="50.25" customWidth="1"/>
    <col min="9728" max="9730" width="0" hidden="1" customWidth="1"/>
    <col min="9731" max="9731" width="14.875" bestFit="1" customWidth="1"/>
    <col min="9732" max="9734" width="14.75" bestFit="1" customWidth="1"/>
    <col min="9735" max="9735" width="13" bestFit="1" customWidth="1"/>
    <col min="9736" max="9740" width="13.125" bestFit="1" customWidth="1"/>
    <col min="9741" max="9743" width="0" hidden="1" customWidth="1"/>
    <col min="9982" max="9982" width="5.5" customWidth="1"/>
    <col min="9983" max="9983" width="50.25" customWidth="1"/>
    <col min="9984" max="9986" width="0" hidden="1" customWidth="1"/>
    <col min="9987" max="9987" width="14.875" bestFit="1" customWidth="1"/>
    <col min="9988" max="9990" width="14.75" bestFit="1" customWidth="1"/>
    <col min="9991" max="9991" width="13" bestFit="1" customWidth="1"/>
    <col min="9992" max="9996" width="13.125" bestFit="1" customWidth="1"/>
    <col min="9997" max="9999" width="0" hidden="1" customWidth="1"/>
    <col min="10238" max="10238" width="5.5" customWidth="1"/>
    <col min="10239" max="10239" width="50.25" customWidth="1"/>
    <col min="10240" max="10242" width="0" hidden="1" customWidth="1"/>
    <col min="10243" max="10243" width="14.875" bestFit="1" customWidth="1"/>
    <col min="10244" max="10246" width="14.75" bestFit="1" customWidth="1"/>
    <col min="10247" max="10247" width="13" bestFit="1" customWidth="1"/>
    <col min="10248" max="10252" width="13.125" bestFit="1" customWidth="1"/>
    <col min="10253" max="10255" width="0" hidden="1" customWidth="1"/>
    <col min="10494" max="10494" width="5.5" customWidth="1"/>
    <col min="10495" max="10495" width="50.25" customWidth="1"/>
    <col min="10496" max="10498" width="0" hidden="1" customWidth="1"/>
    <col min="10499" max="10499" width="14.875" bestFit="1" customWidth="1"/>
    <col min="10500" max="10502" width="14.75" bestFit="1" customWidth="1"/>
    <col min="10503" max="10503" width="13" bestFit="1" customWidth="1"/>
    <col min="10504" max="10508" width="13.125" bestFit="1" customWidth="1"/>
    <col min="10509" max="10511" width="0" hidden="1" customWidth="1"/>
    <col min="10750" max="10750" width="5.5" customWidth="1"/>
    <col min="10751" max="10751" width="50.25" customWidth="1"/>
    <col min="10752" max="10754" width="0" hidden="1" customWidth="1"/>
    <col min="10755" max="10755" width="14.875" bestFit="1" customWidth="1"/>
    <col min="10756" max="10758" width="14.75" bestFit="1" customWidth="1"/>
    <col min="10759" max="10759" width="13" bestFit="1" customWidth="1"/>
    <col min="10760" max="10764" width="13.125" bestFit="1" customWidth="1"/>
    <col min="10765" max="10767" width="0" hidden="1" customWidth="1"/>
    <col min="11006" max="11006" width="5.5" customWidth="1"/>
    <col min="11007" max="11007" width="50.25" customWidth="1"/>
    <col min="11008" max="11010" width="0" hidden="1" customWidth="1"/>
    <col min="11011" max="11011" width="14.875" bestFit="1" customWidth="1"/>
    <col min="11012" max="11014" width="14.75" bestFit="1" customWidth="1"/>
    <col min="11015" max="11015" width="13" bestFit="1" customWidth="1"/>
    <col min="11016" max="11020" width="13.125" bestFit="1" customWidth="1"/>
    <col min="11021" max="11023" width="0" hidden="1" customWidth="1"/>
    <col min="11262" max="11262" width="5.5" customWidth="1"/>
    <col min="11263" max="11263" width="50.25" customWidth="1"/>
    <col min="11264" max="11266" width="0" hidden="1" customWidth="1"/>
    <col min="11267" max="11267" width="14.875" bestFit="1" customWidth="1"/>
    <col min="11268" max="11270" width="14.75" bestFit="1" customWidth="1"/>
    <col min="11271" max="11271" width="13" bestFit="1" customWidth="1"/>
    <col min="11272" max="11276" width="13.125" bestFit="1" customWidth="1"/>
    <col min="11277" max="11279" width="0" hidden="1" customWidth="1"/>
    <col min="11518" max="11518" width="5.5" customWidth="1"/>
    <col min="11519" max="11519" width="50.25" customWidth="1"/>
    <col min="11520" max="11522" width="0" hidden="1" customWidth="1"/>
    <col min="11523" max="11523" width="14.875" bestFit="1" customWidth="1"/>
    <col min="11524" max="11526" width="14.75" bestFit="1" customWidth="1"/>
    <col min="11527" max="11527" width="13" bestFit="1" customWidth="1"/>
    <col min="11528" max="11532" width="13.125" bestFit="1" customWidth="1"/>
    <col min="11533" max="11535" width="0" hidden="1" customWidth="1"/>
    <col min="11774" max="11774" width="5.5" customWidth="1"/>
    <col min="11775" max="11775" width="50.25" customWidth="1"/>
    <col min="11776" max="11778" width="0" hidden="1" customWidth="1"/>
    <col min="11779" max="11779" width="14.875" bestFit="1" customWidth="1"/>
    <col min="11780" max="11782" width="14.75" bestFit="1" customWidth="1"/>
    <col min="11783" max="11783" width="13" bestFit="1" customWidth="1"/>
    <col min="11784" max="11788" width="13.125" bestFit="1" customWidth="1"/>
    <col min="11789" max="11791" width="0" hidden="1" customWidth="1"/>
    <col min="12030" max="12030" width="5.5" customWidth="1"/>
    <col min="12031" max="12031" width="50.25" customWidth="1"/>
    <col min="12032" max="12034" width="0" hidden="1" customWidth="1"/>
    <col min="12035" max="12035" width="14.875" bestFit="1" customWidth="1"/>
    <col min="12036" max="12038" width="14.75" bestFit="1" customWidth="1"/>
    <col min="12039" max="12039" width="13" bestFit="1" customWidth="1"/>
    <col min="12040" max="12044" width="13.125" bestFit="1" customWidth="1"/>
    <col min="12045" max="12047" width="0" hidden="1" customWidth="1"/>
    <col min="12286" max="12286" width="5.5" customWidth="1"/>
    <col min="12287" max="12287" width="50.25" customWidth="1"/>
    <col min="12288" max="12290" width="0" hidden="1" customWidth="1"/>
    <col min="12291" max="12291" width="14.875" bestFit="1" customWidth="1"/>
    <col min="12292" max="12294" width="14.75" bestFit="1" customWidth="1"/>
    <col min="12295" max="12295" width="13" bestFit="1" customWidth="1"/>
    <col min="12296" max="12300" width="13.125" bestFit="1" customWidth="1"/>
    <col min="12301" max="12303" width="0" hidden="1" customWidth="1"/>
    <col min="12542" max="12542" width="5.5" customWidth="1"/>
    <col min="12543" max="12543" width="50.25" customWidth="1"/>
    <col min="12544" max="12546" width="0" hidden="1" customWidth="1"/>
    <col min="12547" max="12547" width="14.875" bestFit="1" customWidth="1"/>
    <col min="12548" max="12550" width="14.75" bestFit="1" customWidth="1"/>
    <col min="12551" max="12551" width="13" bestFit="1" customWidth="1"/>
    <col min="12552" max="12556" width="13.125" bestFit="1" customWidth="1"/>
    <col min="12557" max="12559" width="0" hidden="1" customWidth="1"/>
    <col min="12798" max="12798" width="5.5" customWidth="1"/>
    <col min="12799" max="12799" width="50.25" customWidth="1"/>
    <col min="12800" max="12802" width="0" hidden="1" customWidth="1"/>
    <col min="12803" max="12803" width="14.875" bestFit="1" customWidth="1"/>
    <col min="12804" max="12806" width="14.75" bestFit="1" customWidth="1"/>
    <col min="12807" max="12807" width="13" bestFit="1" customWidth="1"/>
    <col min="12808" max="12812" width="13.125" bestFit="1" customWidth="1"/>
    <col min="12813" max="12815" width="0" hidden="1" customWidth="1"/>
    <col min="13054" max="13054" width="5.5" customWidth="1"/>
    <col min="13055" max="13055" width="50.25" customWidth="1"/>
    <col min="13056" max="13058" width="0" hidden="1" customWidth="1"/>
    <col min="13059" max="13059" width="14.875" bestFit="1" customWidth="1"/>
    <col min="13060" max="13062" width="14.75" bestFit="1" customWidth="1"/>
    <col min="13063" max="13063" width="13" bestFit="1" customWidth="1"/>
    <col min="13064" max="13068" width="13.125" bestFit="1" customWidth="1"/>
    <col min="13069" max="13071" width="0" hidden="1" customWidth="1"/>
    <col min="13310" max="13310" width="5.5" customWidth="1"/>
    <col min="13311" max="13311" width="50.25" customWidth="1"/>
    <col min="13312" max="13314" width="0" hidden="1" customWidth="1"/>
    <col min="13315" max="13315" width="14.875" bestFit="1" customWidth="1"/>
    <col min="13316" max="13318" width="14.75" bestFit="1" customWidth="1"/>
    <col min="13319" max="13319" width="13" bestFit="1" customWidth="1"/>
    <col min="13320" max="13324" width="13.125" bestFit="1" customWidth="1"/>
    <col min="13325" max="13327" width="0" hidden="1" customWidth="1"/>
    <col min="13566" max="13566" width="5.5" customWidth="1"/>
    <col min="13567" max="13567" width="50.25" customWidth="1"/>
    <col min="13568" max="13570" width="0" hidden="1" customWidth="1"/>
    <col min="13571" max="13571" width="14.875" bestFit="1" customWidth="1"/>
    <col min="13572" max="13574" width="14.75" bestFit="1" customWidth="1"/>
    <col min="13575" max="13575" width="13" bestFit="1" customWidth="1"/>
    <col min="13576" max="13580" width="13.125" bestFit="1" customWidth="1"/>
    <col min="13581" max="13583" width="0" hidden="1" customWidth="1"/>
    <col min="13822" max="13822" width="5.5" customWidth="1"/>
    <col min="13823" max="13823" width="50.25" customWidth="1"/>
    <col min="13824" max="13826" width="0" hidden="1" customWidth="1"/>
    <col min="13827" max="13827" width="14.875" bestFit="1" customWidth="1"/>
    <col min="13828" max="13830" width="14.75" bestFit="1" customWidth="1"/>
    <col min="13831" max="13831" width="13" bestFit="1" customWidth="1"/>
    <col min="13832" max="13836" width="13.125" bestFit="1" customWidth="1"/>
    <col min="13837" max="13839" width="0" hidden="1" customWidth="1"/>
    <col min="14078" max="14078" width="5.5" customWidth="1"/>
    <col min="14079" max="14079" width="50.25" customWidth="1"/>
    <col min="14080" max="14082" width="0" hidden="1" customWidth="1"/>
    <col min="14083" max="14083" width="14.875" bestFit="1" customWidth="1"/>
    <col min="14084" max="14086" width="14.75" bestFit="1" customWidth="1"/>
    <col min="14087" max="14087" width="13" bestFit="1" customWidth="1"/>
    <col min="14088" max="14092" width="13.125" bestFit="1" customWidth="1"/>
    <col min="14093" max="14095" width="0" hidden="1" customWidth="1"/>
    <col min="14334" max="14334" width="5.5" customWidth="1"/>
    <col min="14335" max="14335" width="50.25" customWidth="1"/>
    <col min="14336" max="14338" width="0" hidden="1" customWidth="1"/>
    <col min="14339" max="14339" width="14.875" bestFit="1" customWidth="1"/>
    <col min="14340" max="14342" width="14.75" bestFit="1" customWidth="1"/>
    <col min="14343" max="14343" width="13" bestFit="1" customWidth="1"/>
    <col min="14344" max="14348" width="13.125" bestFit="1" customWidth="1"/>
    <col min="14349" max="14351" width="0" hidden="1" customWidth="1"/>
    <col min="14590" max="14590" width="5.5" customWidth="1"/>
    <col min="14591" max="14591" width="50.25" customWidth="1"/>
    <col min="14592" max="14594" width="0" hidden="1" customWidth="1"/>
    <col min="14595" max="14595" width="14.875" bestFit="1" customWidth="1"/>
    <col min="14596" max="14598" width="14.75" bestFit="1" customWidth="1"/>
    <col min="14599" max="14599" width="13" bestFit="1" customWidth="1"/>
    <col min="14600" max="14604" width="13.125" bestFit="1" customWidth="1"/>
    <col min="14605" max="14607" width="0" hidden="1" customWidth="1"/>
    <col min="14846" max="14846" width="5.5" customWidth="1"/>
    <col min="14847" max="14847" width="50.25" customWidth="1"/>
    <col min="14848" max="14850" width="0" hidden="1" customWidth="1"/>
    <col min="14851" max="14851" width="14.875" bestFit="1" customWidth="1"/>
    <col min="14852" max="14854" width="14.75" bestFit="1" customWidth="1"/>
    <col min="14855" max="14855" width="13" bestFit="1" customWidth="1"/>
    <col min="14856" max="14860" width="13.125" bestFit="1" customWidth="1"/>
    <col min="14861" max="14863" width="0" hidden="1" customWidth="1"/>
    <col min="15102" max="15102" width="5.5" customWidth="1"/>
    <col min="15103" max="15103" width="50.25" customWidth="1"/>
    <col min="15104" max="15106" width="0" hidden="1" customWidth="1"/>
    <col min="15107" max="15107" width="14.875" bestFit="1" customWidth="1"/>
    <col min="15108" max="15110" width="14.75" bestFit="1" customWidth="1"/>
    <col min="15111" max="15111" width="13" bestFit="1" customWidth="1"/>
    <col min="15112" max="15116" width="13.125" bestFit="1" customWidth="1"/>
    <col min="15117" max="15119" width="0" hidden="1" customWidth="1"/>
    <col min="15358" max="15358" width="5.5" customWidth="1"/>
    <col min="15359" max="15359" width="50.25" customWidth="1"/>
    <col min="15360" max="15362" width="0" hidden="1" customWidth="1"/>
    <col min="15363" max="15363" width="14.875" bestFit="1" customWidth="1"/>
    <col min="15364" max="15366" width="14.75" bestFit="1" customWidth="1"/>
    <col min="15367" max="15367" width="13" bestFit="1" customWidth="1"/>
    <col min="15368" max="15372" width="13.125" bestFit="1" customWidth="1"/>
    <col min="15373" max="15375" width="0" hidden="1" customWidth="1"/>
    <col min="15614" max="15614" width="5.5" customWidth="1"/>
    <col min="15615" max="15615" width="50.25" customWidth="1"/>
    <col min="15616" max="15618" width="0" hidden="1" customWidth="1"/>
    <col min="15619" max="15619" width="14.875" bestFit="1" customWidth="1"/>
    <col min="15620" max="15622" width="14.75" bestFit="1" customWidth="1"/>
    <col min="15623" max="15623" width="13" bestFit="1" customWidth="1"/>
    <col min="15624" max="15628" width="13.125" bestFit="1" customWidth="1"/>
    <col min="15629" max="15631" width="0" hidden="1" customWidth="1"/>
    <col min="15870" max="15870" width="5.5" customWidth="1"/>
    <col min="15871" max="15871" width="50.25" customWidth="1"/>
    <col min="15872" max="15874" width="0" hidden="1" customWidth="1"/>
    <col min="15875" max="15875" width="14.875" bestFit="1" customWidth="1"/>
    <col min="15876" max="15878" width="14.75" bestFit="1" customWidth="1"/>
    <col min="15879" max="15879" width="13" bestFit="1" customWidth="1"/>
    <col min="15880" max="15884" width="13.125" bestFit="1" customWidth="1"/>
    <col min="15885" max="15887" width="0" hidden="1" customWidth="1"/>
    <col min="16126" max="16126" width="5.5" customWidth="1"/>
    <col min="16127" max="16127" width="50.25" customWidth="1"/>
    <col min="16128" max="16130" width="0" hidden="1" customWidth="1"/>
    <col min="16131" max="16131" width="14.875" bestFit="1" customWidth="1"/>
    <col min="16132" max="16134" width="14.75" bestFit="1" customWidth="1"/>
    <col min="16135" max="16135" width="13" bestFit="1" customWidth="1"/>
    <col min="16136" max="16140" width="13.125" bestFit="1" customWidth="1"/>
    <col min="16141" max="16143" width="0" hidden="1" customWidth="1"/>
  </cols>
  <sheetData>
    <row r="1" spans="1:15" ht="15" customHeight="1">
      <c r="E1" s="223"/>
      <c r="K1" s="386" t="s">
        <v>242</v>
      </c>
      <c r="L1" s="387"/>
    </row>
    <row r="2" spans="1:15" ht="18.75">
      <c r="A2" s="388" t="s">
        <v>316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</row>
    <row r="3" spans="1:15" ht="17.25" customHeight="1" thickBot="1">
      <c r="A3" s="224"/>
      <c r="B3" s="224"/>
      <c r="L3" s="225" t="s">
        <v>14</v>
      </c>
    </row>
    <row r="4" spans="1:15" ht="26.25" customHeight="1" thickBot="1">
      <c r="A4" s="226" t="s">
        <v>243</v>
      </c>
      <c r="B4" s="227" t="s">
        <v>244</v>
      </c>
      <c r="C4" s="228">
        <v>2011</v>
      </c>
      <c r="D4" s="228">
        <v>2012</v>
      </c>
      <c r="E4" s="228">
        <v>2013</v>
      </c>
      <c r="F4" s="228">
        <v>2014</v>
      </c>
      <c r="G4" s="228">
        <v>2015</v>
      </c>
      <c r="H4" s="228">
        <v>2016</v>
      </c>
      <c r="I4" s="228">
        <v>2017</v>
      </c>
      <c r="J4" s="228">
        <v>2018</v>
      </c>
      <c r="K4" s="228">
        <v>2019</v>
      </c>
      <c r="L4" s="229">
        <v>2020</v>
      </c>
      <c r="M4" s="230">
        <v>2021</v>
      </c>
      <c r="N4" s="228">
        <v>2022</v>
      </c>
      <c r="O4" s="229">
        <v>2023</v>
      </c>
    </row>
    <row r="5" spans="1:15" ht="15" customHeight="1" thickBot="1">
      <c r="A5" s="364">
        <v>1</v>
      </c>
      <c r="B5" s="365">
        <v>2</v>
      </c>
      <c r="C5" s="366">
        <v>3</v>
      </c>
      <c r="D5" s="366">
        <v>4</v>
      </c>
      <c r="E5" s="366">
        <v>5</v>
      </c>
      <c r="F5" s="366">
        <v>6</v>
      </c>
      <c r="G5" s="366">
        <v>7</v>
      </c>
      <c r="H5" s="366">
        <v>8</v>
      </c>
      <c r="I5" s="366">
        <v>9</v>
      </c>
      <c r="J5" s="366">
        <v>10</v>
      </c>
      <c r="K5" s="366">
        <v>11</v>
      </c>
      <c r="L5" s="367">
        <v>12</v>
      </c>
      <c r="M5" s="230"/>
      <c r="N5" s="228"/>
      <c r="O5" s="229"/>
    </row>
    <row r="6" spans="1:15" ht="24.75" customHeight="1">
      <c r="A6" s="231" t="s">
        <v>245</v>
      </c>
      <c r="B6" s="232" t="s">
        <v>246</v>
      </c>
      <c r="C6" s="234">
        <f t="shared" ref="C6:O6" si="0">SUM(C7,C22)</f>
        <v>825267920</v>
      </c>
      <c r="D6" s="233">
        <f t="shared" si="0"/>
        <v>778319124</v>
      </c>
      <c r="E6" s="233">
        <f t="shared" si="0"/>
        <v>711110175</v>
      </c>
      <c r="F6" s="233">
        <f t="shared" si="0"/>
        <v>646827498</v>
      </c>
      <c r="G6" s="233">
        <f t="shared" si="0"/>
        <v>624802676</v>
      </c>
      <c r="H6" s="233">
        <f t="shared" si="0"/>
        <v>624651851</v>
      </c>
      <c r="I6" s="233">
        <f t="shared" si="0"/>
        <v>632561832</v>
      </c>
      <c r="J6" s="233">
        <f t="shared" si="0"/>
        <v>638234505</v>
      </c>
      <c r="K6" s="233">
        <f t="shared" si="0"/>
        <v>643628258</v>
      </c>
      <c r="L6" s="235">
        <f t="shared" si="0"/>
        <v>649432779</v>
      </c>
      <c r="M6" s="236">
        <f t="shared" si="0"/>
        <v>651523405.69000006</v>
      </c>
      <c r="N6" s="233">
        <f t="shared" si="0"/>
        <v>657659581.59689999</v>
      </c>
      <c r="O6" s="235">
        <f t="shared" si="0"/>
        <v>663857119.262869</v>
      </c>
    </row>
    <row r="7" spans="1:15">
      <c r="A7" s="237"/>
      <c r="B7" s="238" t="s">
        <v>247</v>
      </c>
      <c r="C7" s="240">
        <f>SUM(C8,C11,C13:C21)</f>
        <v>671107629</v>
      </c>
      <c r="D7" s="239">
        <f t="shared" ref="D7:L7" si="1">SUM(D8,D11,D13:D21)</f>
        <v>737104080</v>
      </c>
      <c r="E7" s="239">
        <f t="shared" si="1"/>
        <v>644478398</v>
      </c>
      <c r="F7" s="239">
        <f t="shared" si="1"/>
        <v>618986324</v>
      </c>
      <c r="G7" s="239">
        <f t="shared" si="1"/>
        <v>618018712</v>
      </c>
      <c r="H7" s="239">
        <f t="shared" si="1"/>
        <v>621205251</v>
      </c>
      <c r="I7" s="239">
        <f t="shared" si="1"/>
        <v>627015232</v>
      </c>
      <c r="J7" s="239">
        <f t="shared" si="1"/>
        <v>632687905</v>
      </c>
      <c r="K7" s="239">
        <f t="shared" si="1"/>
        <v>638231658</v>
      </c>
      <c r="L7" s="241">
        <f t="shared" si="1"/>
        <v>644036179</v>
      </c>
      <c r="M7" s="242">
        <f>SUM(M8,M11:M21)</f>
        <v>646126805.69000006</v>
      </c>
      <c r="N7" s="239">
        <f>SUM(N8,N11:N21)</f>
        <v>652262981.59689999</v>
      </c>
      <c r="O7" s="241">
        <f>SUM(O8,O11:O21)</f>
        <v>658460519.262869</v>
      </c>
    </row>
    <row r="8" spans="1:15" ht="30">
      <c r="A8" s="243"/>
      <c r="B8" s="244" t="s">
        <v>248</v>
      </c>
      <c r="C8" s="246">
        <f t="shared" ref="C8:L8" si="2">SUM(C9:C10)</f>
        <v>555500000</v>
      </c>
      <c r="D8" s="245">
        <f t="shared" si="2"/>
        <v>561055000</v>
      </c>
      <c r="E8" s="245">
        <f t="shared" si="2"/>
        <v>566665550</v>
      </c>
      <c r="F8" s="245">
        <f t="shared" si="2"/>
        <v>572332205</v>
      </c>
      <c r="G8" s="245">
        <f t="shared" si="2"/>
        <v>578055528</v>
      </c>
      <c r="H8" s="245">
        <f t="shared" si="2"/>
        <v>583836083</v>
      </c>
      <c r="I8" s="245">
        <f t="shared" si="2"/>
        <v>589674444</v>
      </c>
      <c r="J8" s="245">
        <f t="shared" si="2"/>
        <v>595571188</v>
      </c>
      <c r="K8" s="245">
        <f t="shared" si="2"/>
        <v>601526900</v>
      </c>
      <c r="L8" s="247">
        <f t="shared" si="2"/>
        <v>607542169</v>
      </c>
      <c r="M8" s="248">
        <f>SUM(M9:M10)</f>
        <v>613617590.69000006</v>
      </c>
      <c r="N8" s="245">
        <f>SUM(N9:N10)</f>
        <v>619753766.59689999</v>
      </c>
      <c r="O8" s="247">
        <f>SUM(O9:O10)</f>
        <v>625951304.262869</v>
      </c>
    </row>
    <row r="9" spans="1:15" ht="15">
      <c r="A9" s="249"/>
      <c r="B9" s="250" t="s">
        <v>249</v>
      </c>
      <c r="C9" s="252">
        <v>111100000</v>
      </c>
      <c r="D9" s="251">
        <v>112211000</v>
      </c>
      <c r="E9" s="251">
        <v>113333110</v>
      </c>
      <c r="F9" s="251">
        <v>114466441</v>
      </c>
      <c r="G9" s="251">
        <v>115611106</v>
      </c>
      <c r="H9" s="251">
        <v>116767217</v>
      </c>
      <c r="I9" s="251">
        <v>117934889</v>
      </c>
      <c r="J9" s="251">
        <v>119114238</v>
      </c>
      <c r="K9" s="251">
        <v>120305380</v>
      </c>
      <c r="L9" s="253">
        <v>121508434</v>
      </c>
      <c r="M9" s="254">
        <f t="shared" ref="M9:O10" si="3">L9*101%</f>
        <v>122723518.34</v>
      </c>
      <c r="N9" s="251">
        <f t="shared" si="3"/>
        <v>123950753.52340001</v>
      </c>
      <c r="O9" s="253">
        <f t="shared" si="3"/>
        <v>125190261.05863401</v>
      </c>
    </row>
    <row r="10" spans="1:15" ht="15">
      <c r="A10" s="249"/>
      <c r="B10" s="255" t="s">
        <v>250</v>
      </c>
      <c r="C10" s="257">
        <v>444400000</v>
      </c>
      <c r="D10" s="256">
        <v>448844000</v>
      </c>
      <c r="E10" s="256">
        <v>453332440</v>
      </c>
      <c r="F10" s="256">
        <v>457865764</v>
      </c>
      <c r="G10" s="256">
        <v>462444422</v>
      </c>
      <c r="H10" s="256">
        <v>467068866</v>
      </c>
      <c r="I10" s="256">
        <v>471739555</v>
      </c>
      <c r="J10" s="256">
        <v>476456950</v>
      </c>
      <c r="K10" s="256">
        <v>481221520</v>
      </c>
      <c r="L10" s="258">
        <v>486033735</v>
      </c>
      <c r="M10" s="259">
        <f t="shared" si="3"/>
        <v>490894072.35000002</v>
      </c>
      <c r="N10" s="256">
        <f t="shared" si="3"/>
        <v>495803013.07350004</v>
      </c>
      <c r="O10" s="258">
        <f t="shared" si="3"/>
        <v>500761043.20423502</v>
      </c>
    </row>
    <row r="11" spans="1:15" ht="15">
      <c r="A11" s="249"/>
      <c r="B11" s="244" t="s">
        <v>251</v>
      </c>
      <c r="C11" s="246">
        <f>60893164+C12</f>
        <v>66509245</v>
      </c>
      <c r="D11" s="245">
        <f>74266875+251+7690+236147</f>
        <v>74510963</v>
      </c>
      <c r="E11" s="245">
        <v>31498655</v>
      </c>
      <c r="F11" s="245">
        <v>32265669</v>
      </c>
      <c r="G11" s="245">
        <v>28786799</v>
      </c>
      <c r="H11" s="245">
        <v>26597052</v>
      </c>
      <c r="I11" s="245">
        <v>26668672</v>
      </c>
      <c r="J11" s="245">
        <v>26644601</v>
      </c>
      <c r="K11" s="245">
        <v>26532642</v>
      </c>
      <c r="L11" s="247">
        <v>26522894</v>
      </c>
      <c r="M11" s="248">
        <v>26338099</v>
      </c>
      <c r="N11" s="245">
        <v>26338099</v>
      </c>
      <c r="O11" s="247">
        <v>26338099</v>
      </c>
    </row>
    <row r="12" spans="1:15" ht="30">
      <c r="A12" s="249"/>
      <c r="B12" s="324" t="s">
        <v>291</v>
      </c>
      <c r="C12" s="252">
        <v>5616081</v>
      </c>
      <c r="D12" s="256">
        <v>200000</v>
      </c>
      <c r="E12" s="245">
        <v>184795</v>
      </c>
      <c r="F12" s="245">
        <v>184795</v>
      </c>
      <c r="G12" s="245">
        <v>184795</v>
      </c>
      <c r="H12" s="245">
        <v>184795</v>
      </c>
      <c r="I12" s="245">
        <v>184795</v>
      </c>
      <c r="J12" s="245">
        <v>184795</v>
      </c>
      <c r="K12" s="245">
        <v>184795</v>
      </c>
      <c r="L12" s="247">
        <v>184795</v>
      </c>
      <c r="M12" s="259"/>
      <c r="N12" s="256"/>
      <c r="O12" s="258"/>
    </row>
    <row r="13" spans="1:15" ht="30">
      <c r="A13" s="249"/>
      <c r="B13" s="250" t="s">
        <v>252</v>
      </c>
      <c r="C13" s="252">
        <v>5000</v>
      </c>
      <c r="D13" s="256">
        <v>5000</v>
      </c>
      <c r="E13" s="256">
        <v>2000</v>
      </c>
      <c r="F13" s="256">
        <v>2000</v>
      </c>
      <c r="G13" s="256">
        <v>2000</v>
      </c>
      <c r="H13" s="256">
        <v>1000</v>
      </c>
      <c r="I13" s="256">
        <v>1000</v>
      </c>
      <c r="J13" s="256">
        <v>1000</v>
      </c>
      <c r="K13" s="256">
        <v>1000</v>
      </c>
      <c r="L13" s="258">
        <v>0</v>
      </c>
      <c r="M13" s="259">
        <v>0</v>
      </c>
      <c r="N13" s="256">
        <v>0</v>
      </c>
      <c r="O13" s="258">
        <v>0</v>
      </c>
    </row>
    <row r="14" spans="1:15" ht="15">
      <c r="A14" s="249"/>
      <c r="B14" s="244" t="s">
        <v>253</v>
      </c>
      <c r="C14" s="246">
        <v>150000</v>
      </c>
      <c r="D14" s="245">
        <v>70000</v>
      </c>
      <c r="E14" s="245">
        <v>150000</v>
      </c>
      <c r="F14" s="245">
        <v>150000</v>
      </c>
      <c r="G14" s="245">
        <v>150000</v>
      </c>
      <c r="H14" s="245">
        <v>150000</v>
      </c>
      <c r="I14" s="245">
        <v>150000</v>
      </c>
      <c r="J14" s="245">
        <v>150000</v>
      </c>
      <c r="K14" s="245">
        <v>150000</v>
      </c>
      <c r="L14" s="247">
        <v>150000</v>
      </c>
      <c r="M14" s="248">
        <v>150000</v>
      </c>
      <c r="N14" s="245">
        <v>150000</v>
      </c>
      <c r="O14" s="247">
        <v>150000</v>
      </c>
    </row>
    <row r="15" spans="1:15" ht="15">
      <c r="A15" s="249"/>
      <c r="B15" s="244" t="s">
        <v>254</v>
      </c>
      <c r="C15" s="246">
        <v>10000</v>
      </c>
      <c r="D15" s="245">
        <v>10000</v>
      </c>
      <c r="E15" s="245">
        <v>10000</v>
      </c>
      <c r="F15" s="245">
        <v>8000</v>
      </c>
      <c r="G15" s="245">
        <v>8000</v>
      </c>
      <c r="H15" s="245">
        <v>8000</v>
      </c>
      <c r="I15" s="245">
        <v>8000</v>
      </c>
      <c r="J15" s="245">
        <v>8000</v>
      </c>
      <c r="K15" s="245">
        <v>8000</v>
      </c>
      <c r="L15" s="247">
        <v>8000</v>
      </c>
      <c r="M15" s="248">
        <v>8000</v>
      </c>
      <c r="N15" s="245">
        <v>8000</v>
      </c>
      <c r="O15" s="247">
        <v>8000</v>
      </c>
    </row>
    <row r="16" spans="1:15" ht="33.75">
      <c r="A16" s="249"/>
      <c r="B16" s="360" t="s">
        <v>255</v>
      </c>
      <c r="C16" s="252">
        <v>13684</v>
      </c>
      <c r="D16" s="245">
        <v>14053</v>
      </c>
      <c r="E16" s="245">
        <v>13116</v>
      </c>
      <c r="F16" s="245">
        <v>13116</v>
      </c>
      <c r="G16" s="245">
        <v>13116</v>
      </c>
      <c r="H16" s="245">
        <v>13116</v>
      </c>
      <c r="I16" s="245">
        <v>13116</v>
      </c>
      <c r="J16" s="245">
        <v>13116</v>
      </c>
      <c r="K16" s="245">
        <v>13116</v>
      </c>
      <c r="L16" s="247">
        <v>13116</v>
      </c>
      <c r="M16" s="248">
        <v>13116</v>
      </c>
      <c r="N16" s="245">
        <v>13116</v>
      </c>
      <c r="O16" s="247">
        <v>13116</v>
      </c>
    </row>
    <row r="17" spans="1:15" ht="30">
      <c r="A17" s="249"/>
      <c r="B17" s="260" t="s">
        <v>256</v>
      </c>
      <c r="C17" s="252">
        <v>4000000</v>
      </c>
      <c r="D17" s="256">
        <v>6000000</v>
      </c>
      <c r="E17" s="256">
        <v>6000000</v>
      </c>
      <c r="F17" s="256">
        <v>6000000</v>
      </c>
      <c r="G17" s="256">
        <v>6000000</v>
      </c>
      <c r="H17" s="256">
        <v>6000000</v>
      </c>
      <c r="I17" s="256">
        <v>6000000</v>
      </c>
      <c r="J17" s="256">
        <v>6000000</v>
      </c>
      <c r="K17" s="256">
        <v>6000000</v>
      </c>
      <c r="L17" s="258">
        <v>6000000</v>
      </c>
      <c r="M17" s="259">
        <v>4000000</v>
      </c>
      <c r="N17" s="256">
        <v>4000000</v>
      </c>
      <c r="O17" s="258">
        <v>4000000</v>
      </c>
    </row>
    <row r="18" spans="1:15" ht="32.25" customHeight="1">
      <c r="A18" s="249"/>
      <c r="B18" s="250" t="s">
        <v>257</v>
      </c>
      <c r="C18" s="252">
        <v>2000000</v>
      </c>
      <c r="D18" s="256">
        <v>11500000</v>
      </c>
      <c r="E18" s="256">
        <v>2000000</v>
      </c>
      <c r="F18" s="256">
        <v>2000000</v>
      </c>
      <c r="G18" s="256">
        <v>2000000</v>
      </c>
      <c r="H18" s="256">
        <v>2000000</v>
      </c>
      <c r="I18" s="256">
        <v>2000000</v>
      </c>
      <c r="J18" s="256">
        <v>2000000</v>
      </c>
      <c r="K18" s="256">
        <v>2000000</v>
      </c>
      <c r="L18" s="258">
        <v>2000000</v>
      </c>
      <c r="M18" s="259">
        <v>2000000</v>
      </c>
      <c r="N18" s="256">
        <v>2000000</v>
      </c>
      <c r="O18" s="258">
        <v>2000000</v>
      </c>
    </row>
    <row r="19" spans="1:15" ht="19.5" customHeight="1">
      <c r="A19" s="249"/>
      <c r="B19" s="244" t="s">
        <v>318</v>
      </c>
      <c r="C19" s="246">
        <v>3750000</v>
      </c>
      <c r="D19" s="256">
        <v>3500000</v>
      </c>
      <c r="E19" s="256">
        <v>3300000</v>
      </c>
      <c r="F19" s="256">
        <v>3000000</v>
      </c>
      <c r="G19" s="256">
        <v>2800000</v>
      </c>
      <c r="H19" s="256">
        <v>2600000</v>
      </c>
      <c r="I19" s="256">
        <v>2500000</v>
      </c>
      <c r="J19" s="256">
        <v>2300000</v>
      </c>
      <c r="K19" s="256">
        <v>2000000</v>
      </c>
      <c r="L19" s="258">
        <v>1800000</v>
      </c>
      <c r="M19" s="259">
        <v>0</v>
      </c>
      <c r="N19" s="256">
        <v>0</v>
      </c>
      <c r="O19" s="258">
        <v>0</v>
      </c>
    </row>
    <row r="20" spans="1:15" ht="15">
      <c r="A20" s="249"/>
      <c r="B20" s="261" t="s">
        <v>321</v>
      </c>
      <c r="C20" s="263">
        <v>31393420</v>
      </c>
      <c r="D20" s="262">
        <v>65082602</v>
      </c>
      <c r="E20" s="262">
        <v>34820599</v>
      </c>
      <c r="F20" s="262">
        <v>3215334</v>
      </c>
      <c r="G20" s="262">
        <v>203269</v>
      </c>
      <c r="H20" s="245">
        <v>0</v>
      </c>
      <c r="I20" s="245">
        <v>0</v>
      </c>
      <c r="J20" s="245">
        <v>0</v>
      </c>
      <c r="K20" s="245">
        <v>0</v>
      </c>
      <c r="L20" s="247">
        <v>0</v>
      </c>
      <c r="M20" s="248">
        <v>0</v>
      </c>
      <c r="N20" s="245">
        <v>0</v>
      </c>
      <c r="O20" s="247">
        <v>0</v>
      </c>
    </row>
    <row r="21" spans="1:15" ht="15">
      <c r="A21" s="249"/>
      <c r="B21" s="261" t="s">
        <v>322</v>
      </c>
      <c r="C21" s="246">
        <v>7776280</v>
      </c>
      <c r="D21" s="245">
        <v>15356462</v>
      </c>
      <c r="E21" s="245">
        <v>18478</v>
      </c>
      <c r="F21" s="245">
        <v>0</v>
      </c>
      <c r="G21" s="245">
        <v>0</v>
      </c>
      <c r="H21" s="245">
        <v>0</v>
      </c>
      <c r="I21" s="245">
        <v>0</v>
      </c>
      <c r="J21" s="245">
        <v>0</v>
      </c>
      <c r="K21" s="245">
        <v>0</v>
      </c>
      <c r="L21" s="247">
        <v>0</v>
      </c>
      <c r="M21" s="248">
        <v>0</v>
      </c>
      <c r="N21" s="245">
        <v>0</v>
      </c>
      <c r="O21" s="247">
        <v>0</v>
      </c>
    </row>
    <row r="22" spans="1:15" ht="15" customHeight="1">
      <c r="A22" s="249"/>
      <c r="B22" s="238" t="s">
        <v>258</v>
      </c>
      <c r="C22" s="240">
        <f>SUM(C23,C25:C26)</f>
        <v>154160291</v>
      </c>
      <c r="D22" s="240">
        <f t="shared" ref="D22:L22" si="4">SUM(D23,D25:D26)</f>
        <v>41215044</v>
      </c>
      <c r="E22" s="240">
        <f t="shared" si="4"/>
        <v>66631777</v>
      </c>
      <c r="F22" s="240">
        <f t="shared" si="4"/>
        <v>27841174</v>
      </c>
      <c r="G22" s="240">
        <f t="shared" si="4"/>
        <v>6783964</v>
      </c>
      <c r="H22" s="240">
        <f t="shared" si="4"/>
        <v>3446600</v>
      </c>
      <c r="I22" s="240">
        <f t="shared" si="4"/>
        <v>5546600</v>
      </c>
      <c r="J22" s="240">
        <f t="shared" si="4"/>
        <v>5546600</v>
      </c>
      <c r="K22" s="240">
        <f t="shared" si="4"/>
        <v>5396600</v>
      </c>
      <c r="L22" s="264">
        <f t="shared" si="4"/>
        <v>5396600</v>
      </c>
      <c r="M22" s="265">
        <f>SUM(M23,M25:M26)</f>
        <v>5396600</v>
      </c>
      <c r="N22" s="240">
        <f>SUM(N23,N25:N26)</f>
        <v>5396600</v>
      </c>
      <c r="O22" s="240">
        <f>SUM(O23,O25:O26)</f>
        <v>5396600</v>
      </c>
    </row>
    <row r="23" spans="1:15" ht="15">
      <c r="A23" s="249"/>
      <c r="B23" s="244" t="s">
        <v>292</v>
      </c>
      <c r="C23" s="246">
        <v>5914862</v>
      </c>
      <c r="D23" s="245">
        <f>5143720+43</f>
        <v>5143763</v>
      </c>
      <c r="E23" s="245">
        <v>3746600</v>
      </c>
      <c r="F23" s="245">
        <v>5621600</v>
      </c>
      <c r="G23" s="245">
        <v>2221600</v>
      </c>
      <c r="H23" s="245">
        <v>3446600</v>
      </c>
      <c r="I23" s="245">
        <v>5546600</v>
      </c>
      <c r="J23" s="245">
        <v>5546600</v>
      </c>
      <c r="K23" s="245">
        <v>5396600</v>
      </c>
      <c r="L23" s="247">
        <v>5396600</v>
      </c>
      <c r="M23" s="248">
        <v>5396600</v>
      </c>
      <c r="N23" s="245">
        <v>5396600</v>
      </c>
      <c r="O23" s="247">
        <v>5396600</v>
      </c>
    </row>
    <row r="24" spans="1:15" ht="15">
      <c r="A24" s="249"/>
      <c r="B24" s="324" t="s">
        <v>323</v>
      </c>
      <c r="C24" s="246">
        <v>5097400</v>
      </c>
      <c r="D24" s="245">
        <v>5118720</v>
      </c>
      <c r="E24" s="245">
        <v>3746600</v>
      </c>
      <c r="F24" s="245">
        <v>5621600</v>
      </c>
      <c r="G24" s="245">
        <v>2221600</v>
      </c>
      <c r="H24" s="245">
        <v>3446600</v>
      </c>
      <c r="I24" s="245">
        <v>5546600</v>
      </c>
      <c r="J24" s="245">
        <v>5546600</v>
      </c>
      <c r="K24" s="245">
        <v>5396600</v>
      </c>
      <c r="L24" s="247">
        <v>5396600</v>
      </c>
      <c r="M24" s="248">
        <v>5396600</v>
      </c>
      <c r="N24" s="245">
        <v>5396600</v>
      </c>
      <c r="O24" s="247">
        <v>5396600</v>
      </c>
    </row>
    <row r="25" spans="1:15" ht="15">
      <c r="A25" s="249"/>
      <c r="B25" s="261" t="s">
        <v>324</v>
      </c>
      <c r="C25" s="263">
        <v>133612742</v>
      </c>
      <c r="D25" s="262">
        <v>26628173</v>
      </c>
      <c r="E25" s="262">
        <v>62885177</v>
      </c>
      <c r="F25" s="262">
        <v>22219574</v>
      </c>
      <c r="G25" s="262">
        <v>4562364</v>
      </c>
      <c r="H25" s="245">
        <v>0</v>
      </c>
      <c r="I25" s="245">
        <v>0</v>
      </c>
      <c r="J25" s="245">
        <v>0</v>
      </c>
      <c r="K25" s="245">
        <v>0</v>
      </c>
      <c r="L25" s="247">
        <v>0</v>
      </c>
      <c r="M25" s="248">
        <v>0</v>
      </c>
      <c r="N25" s="245">
        <v>0</v>
      </c>
      <c r="O25" s="247">
        <v>0</v>
      </c>
    </row>
    <row r="26" spans="1:15" ht="15">
      <c r="A26" s="266"/>
      <c r="B26" s="244" t="s">
        <v>259</v>
      </c>
      <c r="C26" s="246">
        <v>14632687</v>
      </c>
      <c r="D26" s="245">
        <f>9195734+247374</f>
        <v>9443108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5">
        <v>0</v>
      </c>
      <c r="L26" s="247">
        <v>0</v>
      </c>
      <c r="M26" s="248">
        <v>0</v>
      </c>
      <c r="N26" s="245">
        <v>0</v>
      </c>
      <c r="O26" s="247">
        <v>0</v>
      </c>
    </row>
    <row r="27" spans="1:15">
      <c r="A27" s="267" t="s">
        <v>260</v>
      </c>
      <c r="B27" s="238" t="s">
        <v>261</v>
      </c>
      <c r="C27" s="269">
        <f t="shared" ref="C27:L27" si="5">SUM(C28:C31)</f>
        <v>209513799</v>
      </c>
      <c r="D27" s="268">
        <f t="shared" si="5"/>
        <v>178574450</v>
      </c>
      <c r="E27" s="268">
        <f t="shared" si="5"/>
        <v>178574450</v>
      </c>
      <c r="F27" s="268">
        <f t="shared" si="5"/>
        <v>178574450</v>
      </c>
      <c r="G27" s="268">
        <f t="shared" si="5"/>
        <v>178574450</v>
      </c>
      <c r="H27" s="268">
        <f t="shared" si="5"/>
        <v>178574450</v>
      </c>
      <c r="I27" s="268">
        <f t="shared" si="5"/>
        <v>178574450</v>
      </c>
      <c r="J27" s="268">
        <f t="shared" si="5"/>
        <v>178574450</v>
      </c>
      <c r="K27" s="268">
        <f t="shared" si="5"/>
        <v>178574450</v>
      </c>
      <c r="L27" s="270">
        <f t="shared" si="5"/>
        <v>178574450</v>
      </c>
      <c r="M27" s="271">
        <f>SUM(M28:M31)</f>
        <v>204139940</v>
      </c>
      <c r="N27" s="268">
        <f>SUM(N28:N31)</f>
        <v>204139940</v>
      </c>
      <c r="O27" s="270">
        <f>SUM(O28:O31)</f>
        <v>204139940</v>
      </c>
    </row>
    <row r="28" spans="1:15" ht="15">
      <c r="A28" s="359"/>
      <c r="B28" s="272" t="s">
        <v>262</v>
      </c>
      <c r="C28" s="246">
        <v>117534293</v>
      </c>
      <c r="D28" s="246">
        <v>122454037</v>
      </c>
      <c r="E28" s="246">
        <v>122454037</v>
      </c>
      <c r="F28" s="246">
        <v>122454037</v>
      </c>
      <c r="G28" s="246">
        <v>122454037</v>
      </c>
      <c r="H28" s="246">
        <v>122454037</v>
      </c>
      <c r="I28" s="246">
        <v>122454037</v>
      </c>
      <c r="J28" s="246">
        <v>122454037</v>
      </c>
      <c r="K28" s="246">
        <v>122454037</v>
      </c>
      <c r="L28" s="273">
        <v>122454037</v>
      </c>
      <c r="M28" s="274">
        <v>114485434</v>
      </c>
      <c r="N28" s="246">
        <v>114485434</v>
      </c>
      <c r="O28" s="273">
        <v>114485434</v>
      </c>
    </row>
    <row r="29" spans="1:15" ht="15">
      <c r="A29" s="249"/>
      <c r="B29" s="272" t="s">
        <v>263</v>
      </c>
      <c r="C29" s="246">
        <v>79456637</v>
      </c>
      <c r="D29" s="246">
        <v>21195253</v>
      </c>
      <c r="E29" s="246">
        <v>21195253</v>
      </c>
      <c r="F29" s="246">
        <v>21195253</v>
      </c>
      <c r="G29" s="246">
        <v>21195253</v>
      </c>
      <c r="H29" s="246">
        <v>21195253</v>
      </c>
      <c r="I29" s="246">
        <v>21195253</v>
      </c>
      <c r="J29" s="246">
        <v>21195253</v>
      </c>
      <c r="K29" s="246">
        <v>21195253</v>
      </c>
      <c r="L29" s="273">
        <v>21195253</v>
      </c>
      <c r="M29" s="274">
        <v>79456637</v>
      </c>
      <c r="N29" s="246">
        <v>79456637</v>
      </c>
      <c r="O29" s="273">
        <v>79456637</v>
      </c>
    </row>
    <row r="30" spans="1:15" ht="15">
      <c r="A30" s="249"/>
      <c r="B30" s="272" t="s">
        <v>264</v>
      </c>
      <c r="C30" s="246">
        <v>10197869</v>
      </c>
      <c r="D30" s="246">
        <v>34925160</v>
      </c>
      <c r="E30" s="246">
        <v>34925160</v>
      </c>
      <c r="F30" s="246">
        <v>34925160</v>
      </c>
      <c r="G30" s="246">
        <v>34925160</v>
      </c>
      <c r="H30" s="246">
        <v>34925160</v>
      </c>
      <c r="I30" s="246">
        <v>34925160</v>
      </c>
      <c r="J30" s="246">
        <v>34925160</v>
      </c>
      <c r="K30" s="246">
        <v>34925160</v>
      </c>
      <c r="L30" s="273">
        <v>34925160</v>
      </c>
      <c r="M30" s="274">
        <v>10197869</v>
      </c>
      <c r="N30" s="246">
        <v>10197869</v>
      </c>
      <c r="O30" s="273">
        <v>10197869</v>
      </c>
    </row>
    <row r="31" spans="1:15" ht="15">
      <c r="A31" s="249"/>
      <c r="B31" s="272" t="s">
        <v>265</v>
      </c>
      <c r="C31" s="246">
        <v>2325000</v>
      </c>
      <c r="D31" s="245">
        <v>0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  <c r="K31" s="245">
        <v>0</v>
      </c>
      <c r="L31" s="247">
        <v>0</v>
      </c>
      <c r="M31" s="248">
        <v>0</v>
      </c>
      <c r="N31" s="245">
        <v>0</v>
      </c>
      <c r="O31" s="247">
        <v>0</v>
      </c>
    </row>
    <row r="32" spans="1:15" ht="15">
      <c r="A32" s="266"/>
      <c r="B32" s="272" t="s">
        <v>258</v>
      </c>
      <c r="C32" s="246">
        <v>2325000</v>
      </c>
      <c r="D32" s="245">
        <v>0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  <c r="K32" s="245">
        <v>0</v>
      </c>
      <c r="L32" s="247">
        <v>0</v>
      </c>
      <c r="M32" s="271">
        <f>SUM(M33,M35,M37)</f>
        <v>4135025</v>
      </c>
      <c r="N32" s="268">
        <f>SUM(N33,N35,N37)</f>
        <v>4135025</v>
      </c>
      <c r="O32" s="270">
        <f>SUM(O33,O35,O37)</f>
        <v>4135025</v>
      </c>
    </row>
    <row r="33" spans="1:15">
      <c r="A33" s="275" t="s">
        <v>266</v>
      </c>
      <c r="B33" s="238" t="s">
        <v>267</v>
      </c>
      <c r="C33" s="269">
        <f t="shared" ref="C33:L33" si="6">SUM(C34,C36,C38)</f>
        <v>234542107</v>
      </c>
      <c r="D33" s="268">
        <f t="shared" si="6"/>
        <v>307859539</v>
      </c>
      <c r="E33" s="268">
        <f t="shared" si="6"/>
        <v>711195560</v>
      </c>
      <c r="F33" s="268">
        <f t="shared" si="6"/>
        <v>562563088</v>
      </c>
      <c r="G33" s="268">
        <f t="shared" si="6"/>
        <v>40335301</v>
      </c>
      <c r="H33" s="268">
        <f t="shared" si="6"/>
        <v>4135025</v>
      </c>
      <c r="I33" s="268">
        <f t="shared" si="6"/>
        <v>4135025</v>
      </c>
      <c r="J33" s="268">
        <f t="shared" si="6"/>
        <v>4135025</v>
      </c>
      <c r="K33" s="268">
        <f t="shared" si="6"/>
        <v>4135025</v>
      </c>
      <c r="L33" s="270">
        <f t="shared" si="6"/>
        <v>4135025</v>
      </c>
      <c r="M33" s="248">
        <v>0</v>
      </c>
      <c r="N33" s="245">
        <v>0</v>
      </c>
      <c r="O33" s="247">
        <v>0</v>
      </c>
    </row>
    <row r="34" spans="1:15" ht="15">
      <c r="A34" s="276"/>
      <c r="B34" s="261" t="s">
        <v>326</v>
      </c>
      <c r="C34" s="263">
        <f>14158435+1102153</f>
        <v>15260588</v>
      </c>
      <c r="D34" s="262">
        <v>13275499</v>
      </c>
      <c r="E34" s="262">
        <v>349915</v>
      </c>
      <c r="F34" s="262">
        <v>302385</v>
      </c>
      <c r="G34" s="262">
        <v>107335</v>
      </c>
      <c r="H34" s="245">
        <v>0</v>
      </c>
      <c r="I34" s="245">
        <v>0</v>
      </c>
      <c r="J34" s="245">
        <v>0</v>
      </c>
      <c r="K34" s="245">
        <v>0</v>
      </c>
      <c r="L34" s="247">
        <v>0</v>
      </c>
      <c r="M34" s="248">
        <v>0</v>
      </c>
      <c r="N34" s="245">
        <v>0</v>
      </c>
      <c r="O34" s="247">
        <v>0</v>
      </c>
    </row>
    <row r="35" spans="1:15" ht="15">
      <c r="A35" s="277"/>
      <c r="B35" s="261" t="s">
        <v>258</v>
      </c>
      <c r="C35" s="263">
        <v>11669475</v>
      </c>
      <c r="D35" s="262">
        <v>10945499</v>
      </c>
      <c r="E35" s="262">
        <v>0</v>
      </c>
      <c r="F35" s="262">
        <v>0</v>
      </c>
      <c r="G35" s="262">
        <v>0</v>
      </c>
      <c r="H35" s="245">
        <v>0</v>
      </c>
      <c r="I35" s="245">
        <v>0</v>
      </c>
      <c r="J35" s="245">
        <v>0</v>
      </c>
      <c r="K35" s="245">
        <v>0</v>
      </c>
      <c r="L35" s="247">
        <v>0</v>
      </c>
      <c r="M35" s="248">
        <v>0</v>
      </c>
      <c r="N35" s="245">
        <v>0</v>
      </c>
      <c r="O35" s="247">
        <v>0</v>
      </c>
    </row>
    <row r="36" spans="1:15" ht="15">
      <c r="A36" s="277"/>
      <c r="B36" s="261" t="s">
        <v>325</v>
      </c>
      <c r="C36" s="263">
        <v>180514166</v>
      </c>
      <c r="D36" s="262">
        <v>179836017</v>
      </c>
      <c r="E36" s="262">
        <v>150745464</v>
      </c>
      <c r="F36" s="262">
        <v>81728683</v>
      </c>
      <c r="G36" s="262">
        <v>36092941</v>
      </c>
      <c r="H36" s="245">
        <v>0</v>
      </c>
      <c r="I36" s="245">
        <v>0</v>
      </c>
      <c r="J36" s="245">
        <v>0</v>
      </c>
      <c r="K36" s="245">
        <v>0</v>
      </c>
      <c r="L36" s="247">
        <v>0</v>
      </c>
      <c r="M36" s="248">
        <v>0</v>
      </c>
      <c r="N36" s="245">
        <v>0</v>
      </c>
      <c r="O36" s="247">
        <v>0</v>
      </c>
    </row>
    <row r="37" spans="1:15" ht="15">
      <c r="A37" s="277"/>
      <c r="B37" s="261" t="s">
        <v>258</v>
      </c>
      <c r="C37" s="263">
        <v>61484102</v>
      </c>
      <c r="D37" s="262">
        <v>30468981</v>
      </c>
      <c r="E37" s="262">
        <v>39043237</v>
      </c>
      <c r="F37" s="262">
        <v>24411123</v>
      </c>
      <c r="G37" s="262">
        <v>455157</v>
      </c>
      <c r="H37" s="245">
        <v>0</v>
      </c>
      <c r="I37" s="245">
        <v>0</v>
      </c>
      <c r="J37" s="245">
        <v>0</v>
      </c>
      <c r="K37" s="245">
        <v>0</v>
      </c>
      <c r="L37" s="247">
        <v>0</v>
      </c>
      <c r="M37" s="248">
        <v>4135025</v>
      </c>
      <c r="N37" s="245">
        <v>4135025</v>
      </c>
      <c r="O37" s="247">
        <v>4135025</v>
      </c>
    </row>
    <row r="38" spans="1:15" ht="15.75" thickBot="1">
      <c r="A38" s="277"/>
      <c r="B38" s="244" t="s">
        <v>268</v>
      </c>
      <c r="C38" s="246">
        <v>38767353</v>
      </c>
      <c r="D38" s="245">
        <v>114748023</v>
      </c>
      <c r="E38" s="245">
        <v>560100181</v>
      </c>
      <c r="F38" s="245">
        <v>480532020</v>
      </c>
      <c r="G38" s="245">
        <v>4135025</v>
      </c>
      <c r="H38" s="245">
        <v>4135025</v>
      </c>
      <c r="I38" s="245">
        <v>4135025</v>
      </c>
      <c r="J38" s="245">
        <v>4135025</v>
      </c>
      <c r="K38" s="245">
        <v>4135025</v>
      </c>
      <c r="L38" s="247">
        <v>4135025</v>
      </c>
      <c r="M38" s="278">
        <v>4000000</v>
      </c>
      <c r="N38" s="279">
        <v>4000000</v>
      </c>
      <c r="O38" s="280">
        <v>4000000</v>
      </c>
    </row>
    <row r="39" spans="1:15" ht="19.5" customHeight="1" thickBot="1">
      <c r="A39" s="281"/>
      <c r="B39" s="282" t="s">
        <v>258</v>
      </c>
      <c r="C39" s="283">
        <v>37514824</v>
      </c>
      <c r="D39" s="279">
        <v>114472221</v>
      </c>
      <c r="E39" s="279">
        <v>559965156</v>
      </c>
      <c r="F39" s="279">
        <v>480396995</v>
      </c>
      <c r="G39" s="279">
        <v>4000000</v>
      </c>
      <c r="H39" s="279">
        <v>4000000</v>
      </c>
      <c r="I39" s="279">
        <v>4000000</v>
      </c>
      <c r="J39" s="279">
        <v>4000000</v>
      </c>
      <c r="K39" s="279">
        <v>4000000</v>
      </c>
      <c r="L39" s="280">
        <v>4000000</v>
      </c>
      <c r="M39" s="284">
        <f>SUM(M6,M27,M32)</f>
        <v>859798370.69000006</v>
      </c>
      <c r="N39" s="285">
        <f>SUM(N6,N27,N32)</f>
        <v>865934546.59689999</v>
      </c>
      <c r="O39" s="286">
        <f>SUM(O6,O27,O32)</f>
        <v>872132084.262869</v>
      </c>
    </row>
    <row r="40" spans="1:15" ht="20.25" customHeight="1" thickBot="1">
      <c r="A40" s="389" t="s">
        <v>308</v>
      </c>
      <c r="B40" s="390"/>
      <c r="C40" s="287">
        <f t="shared" ref="C40:L40" si="7">SUM(C6,C27,C33)</f>
        <v>1269323826</v>
      </c>
      <c r="D40" s="285">
        <f t="shared" si="7"/>
        <v>1264753113</v>
      </c>
      <c r="E40" s="285">
        <f t="shared" si="7"/>
        <v>1600880185</v>
      </c>
      <c r="F40" s="285">
        <f t="shared" si="7"/>
        <v>1387965036</v>
      </c>
      <c r="G40" s="285">
        <f t="shared" si="7"/>
        <v>843712427</v>
      </c>
      <c r="H40" s="285">
        <f t="shared" si="7"/>
        <v>807361326</v>
      </c>
      <c r="I40" s="285">
        <f t="shared" si="7"/>
        <v>815271307</v>
      </c>
      <c r="J40" s="285">
        <f t="shared" si="7"/>
        <v>820943980</v>
      </c>
      <c r="K40" s="285">
        <f t="shared" si="7"/>
        <v>826337733</v>
      </c>
      <c r="L40" s="286">
        <f t="shared" si="7"/>
        <v>832142254</v>
      </c>
    </row>
    <row r="41" spans="1:15" ht="8.25" customHeight="1">
      <c r="A41" s="288"/>
      <c r="B41" s="288"/>
      <c r="C41" s="290"/>
      <c r="D41" s="289"/>
      <c r="E41" s="289"/>
      <c r="F41" s="289"/>
      <c r="G41" s="289"/>
      <c r="H41" s="289"/>
      <c r="I41" s="289"/>
      <c r="J41" s="289"/>
      <c r="K41" s="289"/>
      <c r="L41" s="289"/>
    </row>
    <row r="42" spans="1:15" ht="18.75">
      <c r="A42" s="215"/>
      <c r="B42" s="349" t="s">
        <v>269</v>
      </c>
      <c r="C42" s="335">
        <f t="shared" ref="C42:L42" si="8">SUM(C43:C44)</f>
        <v>105826301</v>
      </c>
      <c r="D42" s="335">
        <f t="shared" si="8"/>
        <v>64454400</v>
      </c>
      <c r="E42" s="335">
        <f t="shared" si="8"/>
        <v>63049400</v>
      </c>
      <c r="F42" s="335">
        <f t="shared" si="8"/>
        <v>63049400</v>
      </c>
      <c r="G42" s="335">
        <f t="shared" si="8"/>
        <v>63049400</v>
      </c>
      <c r="H42" s="335">
        <f t="shared" si="8"/>
        <v>63049400</v>
      </c>
      <c r="I42" s="335">
        <f t="shared" si="8"/>
        <v>63049400</v>
      </c>
      <c r="J42" s="335">
        <f t="shared" si="8"/>
        <v>63049400</v>
      </c>
      <c r="K42" s="335">
        <f t="shared" si="8"/>
        <v>63049400</v>
      </c>
      <c r="L42" s="335">
        <f t="shared" si="8"/>
        <v>63049400</v>
      </c>
      <c r="M42" s="292">
        <f>SUM(M43:M44)</f>
        <v>76660000</v>
      </c>
      <c r="N42" s="292">
        <f>SUM(N43:N44)</f>
        <v>76660000</v>
      </c>
      <c r="O42" s="292">
        <f>SUM(O43:O44)</f>
        <v>76660000</v>
      </c>
    </row>
    <row r="43" spans="1:15" ht="15">
      <c r="A43" s="215"/>
      <c r="B43" s="346" t="s">
        <v>270</v>
      </c>
      <c r="C43" s="347">
        <v>59179516</v>
      </c>
      <c r="D43" s="347">
        <f>48553400+1405000</f>
        <v>49958400</v>
      </c>
      <c r="E43" s="347">
        <v>48553400</v>
      </c>
      <c r="F43" s="347">
        <v>48553400</v>
      </c>
      <c r="G43" s="347">
        <v>48553400</v>
      </c>
      <c r="H43" s="347">
        <v>48553400</v>
      </c>
      <c r="I43" s="347">
        <v>48553400</v>
      </c>
      <c r="J43" s="347">
        <v>48553400</v>
      </c>
      <c r="K43" s="347">
        <v>48553400</v>
      </c>
      <c r="L43" s="347">
        <v>48553400</v>
      </c>
      <c r="M43" s="293">
        <v>46658000</v>
      </c>
      <c r="N43" s="293">
        <v>46658000</v>
      </c>
      <c r="O43" s="293">
        <v>46658000</v>
      </c>
    </row>
    <row r="44" spans="1:15" ht="15">
      <c r="A44" s="215"/>
      <c r="B44" s="348" t="s">
        <v>271</v>
      </c>
      <c r="C44" s="347">
        <f>45194000+1369385+83400</f>
        <v>46646785</v>
      </c>
      <c r="D44" s="347">
        <v>14496000</v>
      </c>
      <c r="E44" s="347">
        <v>14496000</v>
      </c>
      <c r="F44" s="347">
        <v>14496000</v>
      </c>
      <c r="G44" s="347">
        <v>14496000</v>
      </c>
      <c r="H44" s="347">
        <v>14496000</v>
      </c>
      <c r="I44" s="347">
        <v>14496000</v>
      </c>
      <c r="J44" s="347">
        <v>14496000</v>
      </c>
      <c r="K44" s="347">
        <v>14496000</v>
      </c>
      <c r="L44" s="347">
        <v>14496000</v>
      </c>
      <c r="M44" s="295">
        <v>30002000</v>
      </c>
      <c r="N44" s="295">
        <v>30002000</v>
      </c>
      <c r="O44" s="295">
        <v>30002000</v>
      </c>
    </row>
    <row r="45" spans="1:15" ht="6" customHeight="1">
      <c r="A45" s="215"/>
      <c r="B45" s="294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6"/>
      <c r="N45" s="296"/>
      <c r="O45" s="296"/>
    </row>
    <row r="46" spans="1:15" ht="15.75">
      <c r="A46" s="172"/>
      <c r="B46" s="297" t="s">
        <v>272</v>
      </c>
      <c r="C46" s="298">
        <f t="shared" ref="C46:L46" si="9">SUM(C40,C42)</f>
        <v>1375150127</v>
      </c>
      <c r="D46" s="298">
        <f t="shared" si="9"/>
        <v>1329207513</v>
      </c>
      <c r="E46" s="298">
        <f t="shared" si="9"/>
        <v>1663929585</v>
      </c>
      <c r="F46" s="298">
        <f t="shared" si="9"/>
        <v>1451014436</v>
      </c>
      <c r="G46" s="298">
        <f t="shared" si="9"/>
        <v>906761827</v>
      </c>
      <c r="H46" s="298">
        <f t="shared" si="9"/>
        <v>870410726</v>
      </c>
      <c r="I46" s="298">
        <f t="shared" si="9"/>
        <v>878320707</v>
      </c>
      <c r="J46" s="298">
        <f t="shared" si="9"/>
        <v>883993380</v>
      </c>
      <c r="K46" s="298">
        <f t="shared" si="9"/>
        <v>889387133</v>
      </c>
      <c r="L46" s="298">
        <f t="shared" si="9"/>
        <v>895191654</v>
      </c>
      <c r="M46" s="299">
        <f>SUM(M39,M42)</f>
        <v>936458370.69000006</v>
      </c>
      <c r="N46" s="299">
        <f>SUM(N39,N42)</f>
        <v>942594546.59689999</v>
      </c>
      <c r="O46" s="299">
        <f>SUM(O39,O42)</f>
        <v>948792084.262869</v>
      </c>
    </row>
    <row r="47" spans="1:15" ht="15">
      <c r="A47" s="172"/>
      <c r="B47" s="172" t="s">
        <v>273</v>
      </c>
      <c r="C47" s="300">
        <f t="shared" ref="C47:L47" si="10">C7+(C27-C32)+(C34-C35)+(C36-C37)+(C38-C39)+C43</f>
        <v>1061349650</v>
      </c>
      <c r="D47" s="300">
        <f t="shared" si="10"/>
        <v>1117609768</v>
      </c>
      <c r="E47" s="300">
        <f t="shared" si="10"/>
        <v>983793415</v>
      </c>
      <c r="F47" s="300">
        <f t="shared" si="10"/>
        <v>903869144</v>
      </c>
      <c r="G47" s="300">
        <f t="shared" si="10"/>
        <v>881026706</v>
      </c>
      <c r="H47" s="300">
        <f t="shared" si="10"/>
        <v>848468126</v>
      </c>
      <c r="I47" s="300">
        <f t="shared" si="10"/>
        <v>854278107</v>
      </c>
      <c r="J47" s="300">
        <f t="shared" si="10"/>
        <v>859950780</v>
      </c>
      <c r="K47" s="300">
        <f t="shared" si="10"/>
        <v>865494533</v>
      </c>
      <c r="L47" s="300">
        <f t="shared" si="10"/>
        <v>871299054</v>
      </c>
      <c r="M47" s="105">
        <f>M7+M27+(M33-M34)+(M35-M36)+(M37-M38)+M43</f>
        <v>897059770.69000006</v>
      </c>
      <c r="N47" s="105">
        <f>N7+N27+(N33-N34)+(N35-N36)+(N37-N38)+N43</f>
        <v>903195946.59689999</v>
      </c>
      <c r="O47" s="105">
        <f>O7+O27+(O33-O34)+(O35-O36)+(O37-O38)+O43</f>
        <v>909393484.262869</v>
      </c>
    </row>
    <row r="48" spans="1:15" ht="15">
      <c r="A48" s="172"/>
      <c r="B48" s="172" t="s">
        <v>274</v>
      </c>
      <c r="C48" s="300">
        <f t="shared" ref="C48:L48" si="11">C22+C32+C35+C37+C39+C44</f>
        <v>313800477</v>
      </c>
      <c r="D48" s="300">
        <f t="shared" si="11"/>
        <v>211597745</v>
      </c>
      <c r="E48" s="300">
        <f t="shared" si="11"/>
        <v>680136170</v>
      </c>
      <c r="F48" s="300">
        <f t="shared" si="11"/>
        <v>547145292</v>
      </c>
      <c r="G48" s="300">
        <f t="shared" si="11"/>
        <v>25735121</v>
      </c>
      <c r="H48" s="300">
        <f t="shared" si="11"/>
        <v>21942600</v>
      </c>
      <c r="I48" s="300">
        <f t="shared" si="11"/>
        <v>24042600</v>
      </c>
      <c r="J48" s="300">
        <f t="shared" si="11"/>
        <v>24042600</v>
      </c>
      <c r="K48" s="300">
        <f t="shared" si="11"/>
        <v>23892600</v>
      </c>
      <c r="L48" s="300">
        <f t="shared" si="11"/>
        <v>23892600</v>
      </c>
      <c r="M48" s="105">
        <f>M22+M34+M36+M38+M44</f>
        <v>39398600</v>
      </c>
      <c r="N48" s="105">
        <f>N22+N34+N36+N38+N44</f>
        <v>39398600</v>
      </c>
      <c r="O48" s="105">
        <f>O22+O34+O36+O38+O44</f>
        <v>39398600</v>
      </c>
    </row>
    <row r="49" spans="1:15" ht="15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5">
      <c r="A50" s="339" t="s">
        <v>243</v>
      </c>
      <c r="B50" s="339" t="s">
        <v>92</v>
      </c>
      <c r="C50" s="340">
        <v>2011</v>
      </c>
      <c r="D50" s="340">
        <v>2012</v>
      </c>
      <c r="E50" s="340">
        <v>2013</v>
      </c>
      <c r="F50" s="340">
        <v>2014</v>
      </c>
      <c r="G50" s="340">
        <v>2015</v>
      </c>
      <c r="H50" s="340">
        <v>2016</v>
      </c>
      <c r="I50" s="340">
        <v>2017</v>
      </c>
      <c r="J50" s="340">
        <v>2018</v>
      </c>
      <c r="K50" s="340">
        <v>2019</v>
      </c>
      <c r="L50" s="340">
        <v>2020</v>
      </c>
    </row>
    <row r="51" spans="1:15" ht="15" customHeight="1">
      <c r="A51" s="392" t="s">
        <v>272</v>
      </c>
      <c r="B51" s="392"/>
      <c r="C51" s="344">
        <f>SUM(C52:C53)</f>
        <v>1375150127</v>
      </c>
      <c r="D51" s="344">
        <f t="shared" ref="D51:L51" si="12">SUM(D52:D53)</f>
        <v>1329207513</v>
      </c>
      <c r="E51" s="344">
        <f t="shared" si="12"/>
        <v>1663929585</v>
      </c>
      <c r="F51" s="344">
        <f t="shared" si="12"/>
        <v>1451014436</v>
      </c>
      <c r="G51" s="344">
        <f t="shared" si="12"/>
        <v>906761827</v>
      </c>
      <c r="H51" s="344">
        <f t="shared" si="12"/>
        <v>870410726</v>
      </c>
      <c r="I51" s="344">
        <f t="shared" si="12"/>
        <v>878320707</v>
      </c>
      <c r="J51" s="344">
        <f t="shared" si="12"/>
        <v>883993380</v>
      </c>
      <c r="K51" s="344">
        <f t="shared" si="12"/>
        <v>889387133</v>
      </c>
      <c r="L51" s="344">
        <f t="shared" si="12"/>
        <v>895191654</v>
      </c>
    </row>
    <row r="52" spans="1:15" ht="15">
      <c r="A52" s="391"/>
      <c r="B52" s="334" t="s">
        <v>309</v>
      </c>
      <c r="C52" s="345">
        <f>C47</f>
        <v>1061349650</v>
      </c>
      <c r="D52" s="345">
        <f t="shared" ref="D52:L52" si="13">D47</f>
        <v>1117609768</v>
      </c>
      <c r="E52" s="345">
        <f t="shared" si="13"/>
        <v>983793415</v>
      </c>
      <c r="F52" s="345">
        <f t="shared" si="13"/>
        <v>903869144</v>
      </c>
      <c r="G52" s="345">
        <f t="shared" si="13"/>
        <v>881026706</v>
      </c>
      <c r="H52" s="345">
        <f t="shared" si="13"/>
        <v>848468126</v>
      </c>
      <c r="I52" s="345">
        <f t="shared" si="13"/>
        <v>854278107</v>
      </c>
      <c r="J52" s="345">
        <f t="shared" si="13"/>
        <v>859950780</v>
      </c>
      <c r="K52" s="345">
        <f t="shared" si="13"/>
        <v>865494533</v>
      </c>
      <c r="L52" s="345">
        <f t="shared" si="13"/>
        <v>871299054</v>
      </c>
      <c r="M52" s="105"/>
      <c r="N52" s="105"/>
      <c r="O52" s="105"/>
    </row>
    <row r="53" spans="1:15" ht="15">
      <c r="A53" s="391"/>
      <c r="B53" s="334" t="s">
        <v>310</v>
      </c>
      <c r="C53" s="345">
        <f>C48</f>
        <v>313800477</v>
      </c>
      <c r="D53" s="345">
        <f t="shared" ref="D53:L53" si="14">D48</f>
        <v>211597745</v>
      </c>
      <c r="E53" s="345">
        <f t="shared" si="14"/>
        <v>680136170</v>
      </c>
      <c r="F53" s="345">
        <f t="shared" si="14"/>
        <v>547145292</v>
      </c>
      <c r="G53" s="345">
        <f t="shared" si="14"/>
        <v>25735121</v>
      </c>
      <c r="H53" s="345">
        <f t="shared" si="14"/>
        <v>21942600</v>
      </c>
      <c r="I53" s="345">
        <f t="shared" si="14"/>
        <v>24042600</v>
      </c>
      <c r="J53" s="345">
        <f t="shared" si="14"/>
        <v>24042600</v>
      </c>
      <c r="K53" s="345">
        <f t="shared" si="14"/>
        <v>23892600</v>
      </c>
      <c r="L53" s="345">
        <f t="shared" si="14"/>
        <v>23892600</v>
      </c>
    </row>
    <row r="54" spans="1:15" ht="15" customHeight="1">
      <c r="A54" s="392" t="s">
        <v>311</v>
      </c>
      <c r="B54" s="392"/>
      <c r="C54" s="344">
        <f t="shared" ref="C54:L54" si="15">SUM(C55:C56)</f>
        <v>1641483284</v>
      </c>
      <c r="D54" s="344">
        <f t="shared" si="15"/>
        <v>1638575999</v>
      </c>
      <c r="E54" s="344">
        <f t="shared" si="15"/>
        <v>1682712680</v>
      </c>
      <c r="F54" s="344">
        <f t="shared" si="15"/>
        <v>1388816228</v>
      </c>
      <c r="G54" s="344">
        <f t="shared" si="15"/>
        <v>814256551</v>
      </c>
      <c r="H54" s="344">
        <f t="shared" si="15"/>
        <v>777905450</v>
      </c>
      <c r="I54" s="344">
        <f t="shared" si="15"/>
        <v>785815431</v>
      </c>
      <c r="J54" s="344">
        <f t="shared" si="15"/>
        <v>791488104</v>
      </c>
      <c r="K54" s="344">
        <f t="shared" si="15"/>
        <v>796881857</v>
      </c>
      <c r="L54" s="344">
        <f t="shared" si="15"/>
        <v>802686358</v>
      </c>
    </row>
    <row r="55" spans="1:15" ht="15">
      <c r="A55" s="341"/>
      <c r="B55" s="334" t="s">
        <v>309</v>
      </c>
      <c r="C55" s="345">
        <f>935540107</f>
        <v>935540107</v>
      </c>
      <c r="D55" s="345">
        <f>961382191+251+1405000+7690+236147</f>
        <v>963031279</v>
      </c>
      <c r="E55" s="345">
        <v>583069383</v>
      </c>
      <c r="F55" s="345">
        <v>576279710</v>
      </c>
      <c r="G55" s="345">
        <v>539862182</v>
      </c>
      <c r="H55" s="345">
        <v>544691807</v>
      </c>
      <c r="I55" s="345">
        <v>552001591</v>
      </c>
      <c r="J55" s="345">
        <v>559178418</v>
      </c>
      <c r="K55" s="345">
        <v>566557614</v>
      </c>
      <c r="L55" s="345">
        <v>574250140</v>
      </c>
    </row>
    <row r="56" spans="1:15" ht="15">
      <c r="A56" s="342"/>
      <c r="B56" s="334" t="s">
        <v>310</v>
      </c>
      <c r="C56" s="345">
        <v>705943177</v>
      </c>
      <c r="D56" s="345">
        <f>675297303+43+247374</f>
        <v>675544720</v>
      </c>
      <c r="E56" s="345">
        <v>1099643297</v>
      </c>
      <c r="F56" s="345">
        <v>812536518</v>
      </c>
      <c r="G56" s="345">
        <v>274394369</v>
      </c>
      <c r="H56" s="345">
        <v>233213643</v>
      </c>
      <c r="I56" s="345">
        <v>233813840</v>
      </c>
      <c r="J56" s="345">
        <v>232309686</v>
      </c>
      <c r="K56" s="345">
        <v>230324243</v>
      </c>
      <c r="L56" s="345">
        <v>228436218</v>
      </c>
    </row>
    <row r="57" spans="1:15" ht="15" customHeight="1">
      <c r="A57" s="392" t="s">
        <v>314</v>
      </c>
      <c r="B57" s="392"/>
      <c r="C57" s="344">
        <f>SUM(C58:C61)</f>
        <v>291165458</v>
      </c>
      <c r="D57" s="344">
        <f t="shared" ref="D57:L57" si="16">SUM(D58:D61)</f>
        <v>357895295</v>
      </c>
      <c r="E57" s="344">
        <f t="shared" si="16"/>
        <v>100653775</v>
      </c>
      <c r="F57" s="344">
        <f t="shared" si="16"/>
        <v>32965444</v>
      </c>
      <c r="G57" s="344">
        <f t="shared" si="16"/>
        <v>0</v>
      </c>
      <c r="H57" s="344">
        <f t="shared" si="16"/>
        <v>0</v>
      </c>
      <c r="I57" s="344">
        <f t="shared" si="16"/>
        <v>0</v>
      </c>
      <c r="J57" s="344">
        <f t="shared" si="16"/>
        <v>0</v>
      </c>
      <c r="K57" s="344">
        <f t="shared" si="16"/>
        <v>0</v>
      </c>
      <c r="L57" s="344">
        <f t="shared" si="16"/>
        <v>0</v>
      </c>
    </row>
    <row r="58" spans="1:15" ht="15">
      <c r="A58" s="391"/>
      <c r="B58" s="336" t="s">
        <v>297</v>
      </c>
      <c r="C58" s="345"/>
      <c r="D58" s="345"/>
      <c r="E58" s="345"/>
      <c r="F58" s="345"/>
      <c r="G58" s="345"/>
      <c r="H58" s="345"/>
      <c r="I58" s="345"/>
      <c r="J58" s="345"/>
      <c r="K58" s="345"/>
      <c r="L58" s="345"/>
    </row>
    <row r="59" spans="1:15" ht="15">
      <c r="A59" s="391"/>
      <c r="B59" s="336" t="s">
        <v>298</v>
      </c>
      <c r="C59" s="345">
        <v>79310061</v>
      </c>
      <c r="D59" s="345">
        <v>46714074</v>
      </c>
      <c r="E59" s="345"/>
      <c r="F59" s="345"/>
      <c r="G59" s="345"/>
      <c r="H59" s="345"/>
      <c r="I59" s="345"/>
      <c r="J59" s="345"/>
      <c r="K59" s="345"/>
      <c r="L59" s="345"/>
    </row>
    <row r="60" spans="1:15" ht="15">
      <c r="A60" s="391"/>
      <c r="B60" s="337" t="s">
        <v>299</v>
      </c>
      <c r="C60" s="345">
        <v>15211564</v>
      </c>
      <c r="D60" s="345">
        <v>8430221</v>
      </c>
      <c r="E60" s="345">
        <v>7601638</v>
      </c>
      <c r="F60" s="345">
        <v>916664</v>
      </c>
      <c r="G60" s="345"/>
      <c r="H60" s="345"/>
      <c r="I60" s="345"/>
      <c r="J60" s="345"/>
      <c r="K60" s="345"/>
      <c r="L60" s="345"/>
    </row>
    <row r="61" spans="1:15" ht="15">
      <c r="A61" s="391"/>
      <c r="B61" s="338" t="s">
        <v>315</v>
      </c>
      <c r="C61" s="345">
        <f>'Zestawienie kredytów'!F26</f>
        <v>196643833</v>
      </c>
      <c r="D61" s="345">
        <f>'Zestawienie kredytów'!F38</f>
        <v>302751000</v>
      </c>
      <c r="E61" s="345">
        <f>'Zestawienie kredytów'!F50</f>
        <v>93052137</v>
      </c>
      <c r="F61" s="345">
        <f>'Zestawienie kredytów'!F60</f>
        <v>32048780</v>
      </c>
      <c r="G61" s="345"/>
      <c r="H61" s="345"/>
      <c r="I61" s="345"/>
      <c r="J61" s="345"/>
      <c r="K61" s="345"/>
      <c r="L61" s="345"/>
    </row>
    <row r="62" spans="1:15" ht="18.75">
      <c r="A62" s="392" t="s">
        <v>80</v>
      </c>
      <c r="B62" s="392"/>
      <c r="C62" s="344">
        <f t="shared" ref="C62:L62" si="17">SUM(C63:C64)</f>
        <v>24832300.960000001</v>
      </c>
      <c r="D62" s="344">
        <f t="shared" si="17"/>
        <v>48526809</v>
      </c>
      <c r="E62" s="344">
        <f t="shared" si="17"/>
        <v>81870680</v>
      </c>
      <c r="F62" s="344">
        <f t="shared" si="17"/>
        <v>95163652</v>
      </c>
      <c r="G62" s="344">
        <f t="shared" si="17"/>
        <v>92505276</v>
      </c>
      <c r="H62" s="344">
        <f t="shared" si="17"/>
        <v>92505276</v>
      </c>
      <c r="I62" s="344">
        <f t="shared" si="17"/>
        <v>92505276</v>
      </c>
      <c r="J62" s="344">
        <f t="shared" si="17"/>
        <v>92505276</v>
      </c>
      <c r="K62" s="344">
        <f t="shared" si="17"/>
        <v>92505276</v>
      </c>
      <c r="L62" s="344">
        <f t="shared" si="17"/>
        <v>92505295.8116</v>
      </c>
    </row>
    <row r="63" spans="1:15" ht="15">
      <c r="A63" s="391"/>
      <c r="B63" s="334" t="s">
        <v>312</v>
      </c>
      <c r="C63" s="345">
        <f>'Koszty kredytów'!D24</f>
        <v>22177476.960000001</v>
      </c>
      <c r="D63" s="345">
        <f>'Koszty kredytów'!E24</f>
        <v>44026809</v>
      </c>
      <c r="E63" s="345">
        <f>'Koszty kredytów'!F24</f>
        <v>81870680</v>
      </c>
      <c r="F63" s="345">
        <f>'Koszty kredytów'!G24</f>
        <v>95163652</v>
      </c>
      <c r="G63" s="345">
        <f>'Koszty kredytów'!H24</f>
        <v>92505276</v>
      </c>
      <c r="H63" s="345">
        <f>'Koszty kredytów'!I24</f>
        <v>92505276</v>
      </c>
      <c r="I63" s="345">
        <f>'Koszty kredytów'!J24</f>
        <v>92505276</v>
      </c>
      <c r="J63" s="345">
        <f>'Koszty kredytów'!K24</f>
        <v>92505276</v>
      </c>
      <c r="K63" s="345">
        <f>'Koszty kredytów'!L24</f>
        <v>92505276</v>
      </c>
      <c r="L63" s="345">
        <f>'Koszty kredytów'!M24</f>
        <v>92505295.8116</v>
      </c>
    </row>
    <row r="64" spans="1:15" ht="15">
      <c r="A64" s="391"/>
      <c r="B64" s="334" t="s">
        <v>313</v>
      </c>
      <c r="C64" s="345">
        <v>2654824</v>
      </c>
      <c r="D64" s="345">
        <v>4500000</v>
      </c>
      <c r="E64" s="345">
        <v>0</v>
      </c>
      <c r="F64" s="345">
        <v>0</v>
      </c>
      <c r="G64" s="345">
        <v>0</v>
      </c>
      <c r="H64" s="345">
        <v>0</v>
      </c>
      <c r="I64" s="345">
        <v>0</v>
      </c>
      <c r="J64" s="345">
        <v>0</v>
      </c>
      <c r="K64" s="345">
        <v>0</v>
      </c>
      <c r="L64" s="345">
        <v>0</v>
      </c>
    </row>
    <row r="66" spans="2:12" ht="18.75">
      <c r="B66" s="343" t="s">
        <v>317</v>
      </c>
      <c r="C66" s="343" t="str">
        <f>IF(C51+C57=C54+ROUND(C62,0),"TAK","NIE")</f>
        <v>TAK</v>
      </c>
      <c r="D66" s="343" t="str">
        <f t="shared" ref="D66:L66" si="18">IF(D51+D57=D54+ROUND(D62,0),"TAK","NIE")</f>
        <v>TAK</v>
      </c>
      <c r="E66" s="343" t="str">
        <f t="shared" si="18"/>
        <v>TAK</v>
      </c>
      <c r="F66" s="343" t="str">
        <f t="shared" si="18"/>
        <v>TAK</v>
      </c>
      <c r="G66" s="343" t="str">
        <f t="shared" si="18"/>
        <v>TAK</v>
      </c>
      <c r="H66" s="343" t="str">
        <f t="shared" si="18"/>
        <v>TAK</v>
      </c>
      <c r="I66" s="343" t="str">
        <f t="shared" si="18"/>
        <v>TAK</v>
      </c>
      <c r="J66" s="343" t="str">
        <f t="shared" si="18"/>
        <v>TAK</v>
      </c>
      <c r="K66" s="343" t="str">
        <f t="shared" si="18"/>
        <v>TAK</v>
      </c>
      <c r="L66" s="343" t="str">
        <f t="shared" si="18"/>
        <v>TAK</v>
      </c>
    </row>
    <row r="68" spans="2:12" hidden="1">
      <c r="C68" s="63"/>
      <c r="E68" s="105">
        <f>E51+E57</f>
        <v>1764583360</v>
      </c>
      <c r="F68" s="105">
        <f t="shared" ref="F68:L68" si="19">F51+F57</f>
        <v>1483979880</v>
      </c>
      <c r="G68" s="105">
        <f t="shared" si="19"/>
        <v>906761827</v>
      </c>
      <c r="H68" s="105">
        <f t="shared" si="19"/>
        <v>870410726</v>
      </c>
      <c r="I68" s="105">
        <f t="shared" si="19"/>
        <v>878320707</v>
      </c>
      <c r="J68" s="105">
        <f t="shared" si="19"/>
        <v>883993380</v>
      </c>
      <c r="K68" s="105">
        <f t="shared" si="19"/>
        <v>889387133</v>
      </c>
      <c r="L68" s="105">
        <f t="shared" si="19"/>
        <v>895191654</v>
      </c>
    </row>
    <row r="69" spans="2:12" hidden="1">
      <c r="C69" s="63"/>
      <c r="E69" s="105">
        <f>E54+E62</f>
        <v>1764583360</v>
      </c>
      <c r="F69" s="105">
        <f t="shared" ref="F69:L69" si="20">F54+F62</f>
        <v>1483979880</v>
      </c>
      <c r="G69" s="105">
        <f t="shared" si="20"/>
        <v>906761827</v>
      </c>
      <c r="H69" s="105">
        <f t="shared" si="20"/>
        <v>870410726</v>
      </c>
      <c r="I69" s="105">
        <f t="shared" si="20"/>
        <v>878320707</v>
      </c>
      <c r="J69" s="105">
        <f t="shared" si="20"/>
        <v>883993380</v>
      </c>
      <c r="K69" s="105">
        <f t="shared" si="20"/>
        <v>889387133</v>
      </c>
      <c r="L69" s="105">
        <f t="shared" si="20"/>
        <v>895191653.81159997</v>
      </c>
    </row>
    <row r="70" spans="2:12" hidden="1">
      <c r="E70" s="105">
        <f>E68-E69</f>
        <v>0</v>
      </c>
      <c r="F70" s="105">
        <f t="shared" ref="F70:L70" si="21">F68-F69</f>
        <v>0</v>
      </c>
      <c r="G70" s="105">
        <f t="shared" si="21"/>
        <v>0</v>
      </c>
      <c r="H70" s="105">
        <f t="shared" si="21"/>
        <v>0</v>
      </c>
      <c r="I70" s="105">
        <f t="shared" si="21"/>
        <v>0</v>
      </c>
      <c r="J70" s="105">
        <f t="shared" si="21"/>
        <v>0</v>
      </c>
      <c r="K70" s="105">
        <f t="shared" si="21"/>
        <v>0</v>
      </c>
      <c r="L70" s="105">
        <f t="shared" si="21"/>
        <v>0.1884000301361084</v>
      </c>
    </row>
    <row r="71" spans="2:12" hidden="1"/>
    <row r="72" spans="2:12">
      <c r="F72" s="105">
        <f>F51+F57</f>
        <v>1483979880</v>
      </c>
      <c r="G72" s="105">
        <f t="shared" ref="G72:L72" si="22">G51+G57</f>
        <v>906761827</v>
      </c>
      <c r="H72" s="105">
        <f t="shared" si="22"/>
        <v>870410726</v>
      </c>
      <c r="I72" s="105">
        <f t="shared" si="22"/>
        <v>878320707</v>
      </c>
      <c r="J72" s="105">
        <f t="shared" si="22"/>
        <v>883993380</v>
      </c>
      <c r="K72" s="105">
        <f t="shared" si="22"/>
        <v>889387133</v>
      </c>
      <c r="L72" s="105">
        <f t="shared" si="22"/>
        <v>895191654</v>
      </c>
    </row>
    <row r="73" spans="2:12">
      <c r="F73" s="105">
        <f>F54+F62</f>
        <v>1483979880</v>
      </c>
      <c r="G73" s="105">
        <f t="shared" ref="G73:L73" si="23">G54+G62</f>
        <v>906761827</v>
      </c>
      <c r="H73" s="105">
        <f t="shared" si="23"/>
        <v>870410726</v>
      </c>
      <c r="I73" s="105">
        <f t="shared" si="23"/>
        <v>878320707</v>
      </c>
      <c r="J73" s="105">
        <f t="shared" si="23"/>
        <v>883993380</v>
      </c>
      <c r="K73" s="105">
        <f t="shared" si="23"/>
        <v>889387133</v>
      </c>
      <c r="L73" s="105">
        <f t="shared" si="23"/>
        <v>895191653.81159997</v>
      </c>
    </row>
    <row r="74" spans="2:12">
      <c r="F74" s="105">
        <f>F72-F73</f>
        <v>0</v>
      </c>
      <c r="G74" s="105">
        <f t="shared" ref="G74:L74" si="24">G72-G73</f>
        <v>0</v>
      </c>
      <c r="H74" s="105">
        <f t="shared" si="24"/>
        <v>0</v>
      </c>
      <c r="I74" s="105">
        <f t="shared" si="24"/>
        <v>0</v>
      </c>
      <c r="J74" s="105">
        <f t="shared" si="24"/>
        <v>0</v>
      </c>
      <c r="K74" s="105">
        <f t="shared" si="24"/>
        <v>0</v>
      </c>
      <c r="L74" s="105">
        <f t="shared" si="24"/>
        <v>0.1884000301361084</v>
      </c>
    </row>
  </sheetData>
  <mergeCells count="10">
    <mergeCell ref="A63:A64"/>
    <mergeCell ref="A51:B51"/>
    <mergeCell ref="A54:B54"/>
    <mergeCell ref="A57:B57"/>
    <mergeCell ref="A62:B62"/>
    <mergeCell ref="K1:L1"/>
    <mergeCell ref="A2:L2"/>
    <mergeCell ref="A40:B40"/>
    <mergeCell ref="A52:A53"/>
    <mergeCell ref="A58:A61"/>
  </mergeCells>
  <pageMargins left="0.23622047244094491" right="0.19685039370078741" top="0.27559055118110237" bottom="0.35433070866141736" header="0.19685039370078741" footer="0.31496062992125984"/>
  <pageSetup paperSize="9" scale="65" orientation="landscape" r:id="rId1"/>
  <rowBreaks count="1" manualBreakCount="1">
    <brk id="4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4:P22"/>
  <sheetViews>
    <sheetView zoomScale="80" zoomScaleNormal="80" workbookViewId="0">
      <selection activeCell="F7" sqref="F7:H12"/>
    </sheetView>
  </sheetViews>
  <sheetFormatPr defaultRowHeight="14.25"/>
  <cols>
    <col min="1" max="1" width="3.875" customWidth="1"/>
    <col min="2" max="2" width="16.25" customWidth="1"/>
    <col min="3" max="3" width="11.75" customWidth="1"/>
    <col min="4" max="6" width="11.875" customWidth="1"/>
    <col min="7" max="7" width="12.25" customWidth="1"/>
    <col min="8" max="8" width="12.875" customWidth="1"/>
    <col min="9" max="10" width="12.75" bestFit="1" customWidth="1"/>
    <col min="11" max="11" width="11.375" customWidth="1"/>
    <col min="12" max="12" width="11.125" customWidth="1"/>
    <col min="13" max="14" width="10.875" customWidth="1"/>
    <col min="15" max="15" width="11" customWidth="1"/>
    <col min="16" max="16" width="11.375" customWidth="1"/>
    <col min="257" max="257" width="3.875" customWidth="1"/>
    <col min="258" max="258" width="16.25" customWidth="1"/>
    <col min="259" max="259" width="11.75" customWidth="1"/>
    <col min="260" max="265" width="11.875" customWidth="1"/>
    <col min="266" max="266" width="12" customWidth="1"/>
    <col min="267" max="267" width="11.375" customWidth="1"/>
    <col min="268" max="268" width="11.125" customWidth="1"/>
    <col min="269" max="270" width="10.875" customWidth="1"/>
    <col min="271" max="271" width="11" customWidth="1"/>
    <col min="272" max="272" width="11.375" customWidth="1"/>
    <col min="513" max="513" width="3.875" customWidth="1"/>
    <col min="514" max="514" width="16.25" customWidth="1"/>
    <col min="515" max="515" width="11.75" customWidth="1"/>
    <col min="516" max="521" width="11.875" customWidth="1"/>
    <col min="522" max="522" width="12" customWidth="1"/>
    <col min="523" max="523" width="11.375" customWidth="1"/>
    <col min="524" max="524" width="11.125" customWidth="1"/>
    <col min="525" max="526" width="10.875" customWidth="1"/>
    <col min="527" max="527" width="11" customWidth="1"/>
    <col min="528" max="528" width="11.375" customWidth="1"/>
    <col min="769" max="769" width="3.875" customWidth="1"/>
    <col min="770" max="770" width="16.25" customWidth="1"/>
    <col min="771" max="771" width="11.75" customWidth="1"/>
    <col min="772" max="777" width="11.875" customWidth="1"/>
    <col min="778" max="778" width="12" customWidth="1"/>
    <col min="779" max="779" width="11.375" customWidth="1"/>
    <col min="780" max="780" width="11.125" customWidth="1"/>
    <col min="781" max="782" width="10.875" customWidth="1"/>
    <col min="783" max="783" width="11" customWidth="1"/>
    <col min="784" max="784" width="11.375" customWidth="1"/>
    <col min="1025" max="1025" width="3.875" customWidth="1"/>
    <col min="1026" max="1026" width="16.25" customWidth="1"/>
    <col min="1027" max="1027" width="11.75" customWidth="1"/>
    <col min="1028" max="1033" width="11.875" customWidth="1"/>
    <col min="1034" max="1034" width="12" customWidth="1"/>
    <col min="1035" max="1035" width="11.375" customWidth="1"/>
    <col min="1036" max="1036" width="11.125" customWidth="1"/>
    <col min="1037" max="1038" width="10.875" customWidth="1"/>
    <col min="1039" max="1039" width="11" customWidth="1"/>
    <col min="1040" max="1040" width="11.375" customWidth="1"/>
    <col min="1281" max="1281" width="3.875" customWidth="1"/>
    <col min="1282" max="1282" width="16.25" customWidth="1"/>
    <col min="1283" max="1283" width="11.75" customWidth="1"/>
    <col min="1284" max="1289" width="11.875" customWidth="1"/>
    <col min="1290" max="1290" width="12" customWidth="1"/>
    <col min="1291" max="1291" width="11.375" customWidth="1"/>
    <col min="1292" max="1292" width="11.125" customWidth="1"/>
    <col min="1293" max="1294" width="10.875" customWidth="1"/>
    <col min="1295" max="1295" width="11" customWidth="1"/>
    <col min="1296" max="1296" width="11.375" customWidth="1"/>
    <col min="1537" max="1537" width="3.875" customWidth="1"/>
    <col min="1538" max="1538" width="16.25" customWidth="1"/>
    <col min="1539" max="1539" width="11.75" customWidth="1"/>
    <col min="1540" max="1545" width="11.875" customWidth="1"/>
    <col min="1546" max="1546" width="12" customWidth="1"/>
    <col min="1547" max="1547" width="11.375" customWidth="1"/>
    <col min="1548" max="1548" width="11.125" customWidth="1"/>
    <col min="1549" max="1550" width="10.875" customWidth="1"/>
    <col min="1551" max="1551" width="11" customWidth="1"/>
    <col min="1552" max="1552" width="11.375" customWidth="1"/>
    <col min="1793" max="1793" width="3.875" customWidth="1"/>
    <col min="1794" max="1794" width="16.25" customWidth="1"/>
    <col min="1795" max="1795" width="11.75" customWidth="1"/>
    <col min="1796" max="1801" width="11.875" customWidth="1"/>
    <col min="1802" max="1802" width="12" customWidth="1"/>
    <col min="1803" max="1803" width="11.375" customWidth="1"/>
    <col min="1804" max="1804" width="11.125" customWidth="1"/>
    <col min="1805" max="1806" width="10.875" customWidth="1"/>
    <col min="1807" max="1807" width="11" customWidth="1"/>
    <col min="1808" max="1808" width="11.375" customWidth="1"/>
    <col min="2049" max="2049" width="3.875" customWidth="1"/>
    <col min="2050" max="2050" width="16.25" customWidth="1"/>
    <col min="2051" max="2051" width="11.75" customWidth="1"/>
    <col min="2052" max="2057" width="11.875" customWidth="1"/>
    <col min="2058" max="2058" width="12" customWidth="1"/>
    <col min="2059" max="2059" width="11.375" customWidth="1"/>
    <col min="2060" max="2060" width="11.125" customWidth="1"/>
    <col min="2061" max="2062" width="10.875" customWidth="1"/>
    <col min="2063" max="2063" width="11" customWidth="1"/>
    <col min="2064" max="2064" width="11.375" customWidth="1"/>
    <col min="2305" max="2305" width="3.875" customWidth="1"/>
    <col min="2306" max="2306" width="16.25" customWidth="1"/>
    <col min="2307" max="2307" width="11.75" customWidth="1"/>
    <col min="2308" max="2313" width="11.875" customWidth="1"/>
    <col min="2314" max="2314" width="12" customWidth="1"/>
    <col min="2315" max="2315" width="11.375" customWidth="1"/>
    <col min="2316" max="2316" width="11.125" customWidth="1"/>
    <col min="2317" max="2318" width="10.875" customWidth="1"/>
    <col min="2319" max="2319" width="11" customWidth="1"/>
    <col min="2320" max="2320" width="11.375" customWidth="1"/>
    <col min="2561" max="2561" width="3.875" customWidth="1"/>
    <col min="2562" max="2562" width="16.25" customWidth="1"/>
    <col min="2563" max="2563" width="11.75" customWidth="1"/>
    <col min="2564" max="2569" width="11.875" customWidth="1"/>
    <col min="2570" max="2570" width="12" customWidth="1"/>
    <col min="2571" max="2571" width="11.375" customWidth="1"/>
    <col min="2572" max="2572" width="11.125" customWidth="1"/>
    <col min="2573" max="2574" width="10.875" customWidth="1"/>
    <col min="2575" max="2575" width="11" customWidth="1"/>
    <col min="2576" max="2576" width="11.375" customWidth="1"/>
    <col min="2817" max="2817" width="3.875" customWidth="1"/>
    <col min="2818" max="2818" width="16.25" customWidth="1"/>
    <col min="2819" max="2819" width="11.75" customWidth="1"/>
    <col min="2820" max="2825" width="11.875" customWidth="1"/>
    <col min="2826" max="2826" width="12" customWidth="1"/>
    <col min="2827" max="2827" width="11.375" customWidth="1"/>
    <col min="2828" max="2828" width="11.125" customWidth="1"/>
    <col min="2829" max="2830" width="10.875" customWidth="1"/>
    <col min="2831" max="2831" width="11" customWidth="1"/>
    <col min="2832" max="2832" width="11.375" customWidth="1"/>
    <col min="3073" max="3073" width="3.875" customWidth="1"/>
    <col min="3074" max="3074" width="16.25" customWidth="1"/>
    <col min="3075" max="3075" width="11.75" customWidth="1"/>
    <col min="3076" max="3081" width="11.875" customWidth="1"/>
    <col min="3082" max="3082" width="12" customWidth="1"/>
    <col min="3083" max="3083" width="11.375" customWidth="1"/>
    <col min="3084" max="3084" width="11.125" customWidth="1"/>
    <col min="3085" max="3086" width="10.875" customWidth="1"/>
    <col min="3087" max="3087" width="11" customWidth="1"/>
    <col min="3088" max="3088" width="11.375" customWidth="1"/>
    <col min="3329" max="3329" width="3.875" customWidth="1"/>
    <col min="3330" max="3330" width="16.25" customWidth="1"/>
    <col min="3331" max="3331" width="11.75" customWidth="1"/>
    <col min="3332" max="3337" width="11.875" customWidth="1"/>
    <col min="3338" max="3338" width="12" customWidth="1"/>
    <col min="3339" max="3339" width="11.375" customWidth="1"/>
    <col min="3340" max="3340" width="11.125" customWidth="1"/>
    <col min="3341" max="3342" width="10.875" customWidth="1"/>
    <col min="3343" max="3343" width="11" customWidth="1"/>
    <col min="3344" max="3344" width="11.375" customWidth="1"/>
    <col min="3585" max="3585" width="3.875" customWidth="1"/>
    <col min="3586" max="3586" width="16.25" customWidth="1"/>
    <col min="3587" max="3587" width="11.75" customWidth="1"/>
    <col min="3588" max="3593" width="11.875" customWidth="1"/>
    <col min="3594" max="3594" width="12" customWidth="1"/>
    <col min="3595" max="3595" width="11.375" customWidth="1"/>
    <col min="3596" max="3596" width="11.125" customWidth="1"/>
    <col min="3597" max="3598" width="10.875" customWidth="1"/>
    <col min="3599" max="3599" width="11" customWidth="1"/>
    <col min="3600" max="3600" width="11.375" customWidth="1"/>
    <col min="3841" max="3841" width="3.875" customWidth="1"/>
    <col min="3842" max="3842" width="16.25" customWidth="1"/>
    <col min="3843" max="3843" width="11.75" customWidth="1"/>
    <col min="3844" max="3849" width="11.875" customWidth="1"/>
    <col min="3850" max="3850" width="12" customWidth="1"/>
    <col min="3851" max="3851" width="11.375" customWidth="1"/>
    <col min="3852" max="3852" width="11.125" customWidth="1"/>
    <col min="3853" max="3854" width="10.875" customWidth="1"/>
    <col min="3855" max="3855" width="11" customWidth="1"/>
    <col min="3856" max="3856" width="11.375" customWidth="1"/>
    <col min="4097" max="4097" width="3.875" customWidth="1"/>
    <col min="4098" max="4098" width="16.25" customWidth="1"/>
    <col min="4099" max="4099" width="11.75" customWidth="1"/>
    <col min="4100" max="4105" width="11.875" customWidth="1"/>
    <col min="4106" max="4106" width="12" customWidth="1"/>
    <col min="4107" max="4107" width="11.375" customWidth="1"/>
    <col min="4108" max="4108" width="11.125" customWidth="1"/>
    <col min="4109" max="4110" width="10.875" customWidth="1"/>
    <col min="4111" max="4111" width="11" customWidth="1"/>
    <col min="4112" max="4112" width="11.375" customWidth="1"/>
    <col min="4353" max="4353" width="3.875" customWidth="1"/>
    <col min="4354" max="4354" width="16.25" customWidth="1"/>
    <col min="4355" max="4355" width="11.75" customWidth="1"/>
    <col min="4356" max="4361" width="11.875" customWidth="1"/>
    <col min="4362" max="4362" width="12" customWidth="1"/>
    <col min="4363" max="4363" width="11.375" customWidth="1"/>
    <col min="4364" max="4364" width="11.125" customWidth="1"/>
    <col min="4365" max="4366" width="10.875" customWidth="1"/>
    <col min="4367" max="4367" width="11" customWidth="1"/>
    <col min="4368" max="4368" width="11.375" customWidth="1"/>
    <col min="4609" max="4609" width="3.875" customWidth="1"/>
    <col min="4610" max="4610" width="16.25" customWidth="1"/>
    <col min="4611" max="4611" width="11.75" customWidth="1"/>
    <col min="4612" max="4617" width="11.875" customWidth="1"/>
    <col min="4618" max="4618" width="12" customWidth="1"/>
    <col min="4619" max="4619" width="11.375" customWidth="1"/>
    <col min="4620" max="4620" width="11.125" customWidth="1"/>
    <col min="4621" max="4622" width="10.875" customWidth="1"/>
    <col min="4623" max="4623" width="11" customWidth="1"/>
    <col min="4624" max="4624" width="11.375" customWidth="1"/>
    <col min="4865" max="4865" width="3.875" customWidth="1"/>
    <col min="4866" max="4866" width="16.25" customWidth="1"/>
    <col min="4867" max="4867" width="11.75" customWidth="1"/>
    <col min="4868" max="4873" width="11.875" customWidth="1"/>
    <col min="4874" max="4874" width="12" customWidth="1"/>
    <col min="4875" max="4875" width="11.375" customWidth="1"/>
    <col min="4876" max="4876" width="11.125" customWidth="1"/>
    <col min="4877" max="4878" width="10.875" customWidth="1"/>
    <col min="4879" max="4879" width="11" customWidth="1"/>
    <col min="4880" max="4880" width="11.375" customWidth="1"/>
    <col min="5121" max="5121" width="3.875" customWidth="1"/>
    <col min="5122" max="5122" width="16.25" customWidth="1"/>
    <col min="5123" max="5123" width="11.75" customWidth="1"/>
    <col min="5124" max="5129" width="11.875" customWidth="1"/>
    <col min="5130" max="5130" width="12" customWidth="1"/>
    <col min="5131" max="5131" width="11.375" customWidth="1"/>
    <col min="5132" max="5132" width="11.125" customWidth="1"/>
    <col min="5133" max="5134" width="10.875" customWidth="1"/>
    <col min="5135" max="5135" width="11" customWidth="1"/>
    <col min="5136" max="5136" width="11.375" customWidth="1"/>
    <col min="5377" max="5377" width="3.875" customWidth="1"/>
    <col min="5378" max="5378" width="16.25" customWidth="1"/>
    <col min="5379" max="5379" width="11.75" customWidth="1"/>
    <col min="5380" max="5385" width="11.875" customWidth="1"/>
    <col min="5386" max="5386" width="12" customWidth="1"/>
    <col min="5387" max="5387" width="11.375" customWidth="1"/>
    <col min="5388" max="5388" width="11.125" customWidth="1"/>
    <col min="5389" max="5390" width="10.875" customWidth="1"/>
    <col min="5391" max="5391" width="11" customWidth="1"/>
    <col min="5392" max="5392" width="11.375" customWidth="1"/>
    <col min="5633" max="5633" width="3.875" customWidth="1"/>
    <col min="5634" max="5634" width="16.25" customWidth="1"/>
    <col min="5635" max="5635" width="11.75" customWidth="1"/>
    <col min="5636" max="5641" width="11.875" customWidth="1"/>
    <col min="5642" max="5642" width="12" customWidth="1"/>
    <col min="5643" max="5643" width="11.375" customWidth="1"/>
    <col min="5644" max="5644" width="11.125" customWidth="1"/>
    <col min="5645" max="5646" width="10.875" customWidth="1"/>
    <col min="5647" max="5647" width="11" customWidth="1"/>
    <col min="5648" max="5648" width="11.375" customWidth="1"/>
    <col min="5889" max="5889" width="3.875" customWidth="1"/>
    <col min="5890" max="5890" width="16.25" customWidth="1"/>
    <col min="5891" max="5891" width="11.75" customWidth="1"/>
    <col min="5892" max="5897" width="11.875" customWidth="1"/>
    <col min="5898" max="5898" width="12" customWidth="1"/>
    <col min="5899" max="5899" width="11.375" customWidth="1"/>
    <col min="5900" max="5900" width="11.125" customWidth="1"/>
    <col min="5901" max="5902" width="10.875" customWidth="1"/>
    <col min="5903" max="5903" width="11" customWidth="1"/>
    <col min="5904" max="5904" width="11.375" customWidth="1"/>
    <col min="6145" max="6145" width="3.875" customWidth="1"/>
    <col min="6146" max="6146" width="16.25" customWidth="1"/>
    <col min="6147" max="6147" width="11.75" customWidth="1"/>
    <col min="6148" max="6153" width="11.875" customWidth="1"/>
    <col min="6154" max="6154" width="12" customWidth="1"/>
    <col min="6155" max="6155" width="11.375" customWidth="1"/>
    <col min="6156" max="6156" width="11.125" customWidth="1"/>
    <col min="6157" max="6158" width="10.875" customWidth="1"/>
    <col min="6159" max="6159" width="11" customWidth="1"/>
    <col min="6160" max="6160" width="11.375" customWidth="1"/>
    <col min="6401" max="6401" width="3.875" customWidth="1"/>
    <col min="6402" max="6402" width="16.25" customWidth="1"/>
    <col min="6403" max="6403" width="11.75" customWidth="1"/>
    <col min="6404" max="6409" width="11.875" customWidth="1"/>
    <col min="6410" max="6410" width="12" customWidth="1"/>
    <col min="6411" max="6411" width="11.375" customWidth="1"/>
    <col min="6412" max="6412" width="11.125" customWidth="1"/>
    <col min="6413" max="6414" width="10.875" customWidth="1"/>
    <col min="6415" max="6415" width="11" customWidth="1"/>
    <col min="6416" max="6416" width="11.375" customWidth="1"/>
    <col min="6657" max="6657" width="3.875" customWidth="1"/>
    <col min="6658" max="6658" width="16.25" customWidth="1"/>
    <col min="6659" max="6659" width="11.75" customWidth="1"/>
    <col min="6660" max="6665" width="11.875" customWidth="1"/>
    <col min="6666" max="6666" width="12" customWidth="1"/>
    <col min="6667" max="6667" width="11.375" customWidth="1"/>
    <col min="6668" max="6668" width="11.125" customWidth="1"/>
    <col min="6669" max="6670" width="10.875" customWidth="1"/>
    <col min="6671" max="6671" width="11" customWidth="1"/>
    <col min="6672" max="6672" width="11.375" customWidth="1"/>
    <col min="6913" max="6913" width="3.875" customWidth="1"/>
    <col min="6914" max="6914" width="16.25" customWidth="1"/>
    <col min="6915" max="6915" width="11.75" customWidth="1"/>
    <col min="6916" max="6921" width="11.875" customWidth="1"/>
    <col min="6922" max="6922" width="12" customWidth="1"/>
    <col min="6923" max="6923" width="11.375" customWidth="1"/>
    <col min="6924" max="6924" width="11.125" customWidth="1"/>
    <col min="6925" max="6926" width="10.875" customWidth="1"/>
    <col min="6927" max="6927" width="11" customWidth="1"/>
    <col min="6928" max="6928" width="11.375" customWidth="1"/>
    <col min="7169" max="7169" width="3.875" customWidth="1"/>
    <col min="7170" max="7170" width="16.25" customWidth="1"/>
    <col min="7171" max="7171" width="11.75" customWidth="1"/>
    <col min="7172" max="7177" width="11.875" customWidth="1"/>
    <col min="7178" max="7178" width="12" customWidth="1"/>
    <col min="7179" max="7179" width="11.375" customWidth="1"/>
    <col min="7180" max="7180" width="11.125" customWidth="1"/>
    <col min="7181" max="7182" width="10.875" customWidth="1"/>
    <col min="7183" max="7183" width="11" customWidth="1"/>
    <col min="7184" max="7184" width="11.375" customWidth="1"/>
    <col min="7425" max="7425" width="3.875" customWidth="1"/>
    <col min="7426" max="7426" width="16.25" customWidth="1"/>
    <col min="7427" max="7427" width="11.75" customWidth="1"/>
    <col min="7428" max="7433" width="11.875" customWidth="1"/>
    <col min="7434" max="7434" width="12" customWidth="1"/>
    <col min="7435" max="7435" width="11.375" customWidth="1"/>
    <col min="7436" max="7436" width="11.125" customWidth="1"/>
    <col min="7437" max="7438" width="10.875" customWidth="1"/>
    <col min="7439" max="7439" width="11" customWidth="1"/>
    <col min="7440" max="7440" width="11.375" customWidth="1"/>
    <col min="7681" max="7681" width="3.875" customWidth="1"/>
    <col min="7682" max="7682" width="16.25" customWidth="1"/>
    <col min="7683" max="7683" width="11.75" customWidth="1"/>
    <col min="7684" max="7689" width="11.875" customWidth="1"/>
    <col min="7690" max="7690" width="12" customWidth="1"/>
    <col min="7691" max="7691" width="11.375" customWidth="1"/>
    <col min="7692" max="7692" width="11.125" customWidth="1"/>
    <col min="7693" max="7694" width="10.875" customWidth="1"/>
    <col min="7695" max="7695" width="11" customWidth="1"/>
    <col min="7696" max="7696" width="11.375" customWidth="1"/>
    <col min="7937" max="7937" width="3.875" customWidth="1"/>
    <col min="7938" max="7938" width="16.25" customWidth="1"/>
    <col min="7939" max="7939" width="11.75" customWidth="1"/>
    <col min="7940" max="7945" width="11.875" customWidth="1"/>
    <col min="7946" max="7946" width="12" customWidth="1"/>
    <col min="7947" max="7947" width="11.375" customWidth="1"/>
    <col min="7948" max="7948" width="11.125" customWidth="1"/>
    <col min="7949" max="7950" width="10.875" customWidth="1"/>
    <col min="7951" max="7951" width="11" customWidth="1"/>
    <col min="7952" max="7952" width="11.375" customWidth="1"/>
    <col min="8193" max="8193" width="3.875" customWidth="1"/>
    <col min="8194" max="8194" width="16.25" customWidth="1"/>
    <col min="8195" max="8195" width="11.75" customWidth="1"/>
    <col min="8196" max="8201" width="11.875" customWidth="1"/>
    <col min="8202" max="8202" width="12" customWidth="1"/>
    <col min="8203" max="8203" width="11.375" customWidth="1"/>
    <col min="8204" max="8204" width="11.125" customWidth="1"/>
    <col min="8205" max="8206" width="10.875" customWidth="1"/>
    <col min="8207" max="8207" width="11" customWidth="1"/>
    <col min="8208" max="8208" width="11.375" customWidth="1"/>
    <col min="8449" max="8449" width="3.875" customWidth="1"/>
    <col min="8450" max="8450" width="16.25" customWidth="1"/>
    <col min="8451" max="8451" width="11.75" customWidth="1"/>
    <col min="8452" max="8457" width="11.875" customWidth="1"/>
    <col min="8458" max="8458" width="12" customWidth="1"/>
    <col min="8459" max="8459" width="11.375" customWidth="1"/>
    <col min="8460" max="8460" width="11.125" customWidth="1"/>
    <col min="8461" max="8462" width="10.875" customWidth="1"/>
    <col min="8463" max="8463" width="11" customWidth="1"/>
    <col min="8464" max="8464" width="11.375" customWidth="1"/>
    <col min="8705" max="8705" width="3.875" customWidth="1"/>
    <col min="8706" max="8706" width="16.25" customWidth="1"/>
    <col min="8707" max="8707" width="11.75" customWidth="1"/>
    <col min="8708" max="8713" width="11.875" customWidth="1"/>
    <col min="8714" max="8714" width="12" customWidth="1"/>
    <col min="8715" max="8715" width="11.375" customWidth="1"/>
    <col min="8716" max="8716" width="11.125" customWidth="1"/>
    <col min="8717" max="8718" width="10.875" customWidth="1"/>
    <col min="8719" max="8719" width="11" customWidth="1"/>
    <col min="8720" max="8720" width="11.375" customWidth="1"/>
    <col min="8961" max="8961" width="3.875" customWidth="1"/>
    <col min="8962" max="8962" width="16.25" customWidth="1"/>
    <col min="8963" max="8963" width="11.75" customWidth="1"/>
    <col min="8964" max="8969" width="11.875" customWidth="1"/>
    <col min="8970" max="8970" width="12" customWidth="1"/>
    <col min="8971" max="8971" width="11.375" customWidth="1"/>
    <col min="8972" max="8972" width="11.125" customWidth="1"/>
    <col min="8973" max="8974" width="10.875" customWidth="1"/>
    <col min="8975" max="8975" width="11" customWidth="1"/>
    <col min="8976" max="8976" width="11.375" customWidth="1"/>
    <col min="9217" max="9217" width="3.875" customWidth="1"/>
    <col min="9218" max="9218" width="16.25" customWidth="1"/>
    <col min="9219" max="9219" width="11.75" customWidth="1"/>
    <col min="9220" max="9225" width="11.875" customWidth="1"/>
    <col min="9226" max="9226" width="12" customWidth="1"/>
    <col min="9227" max="9227" width="11.375" customWidth="1"/>
    <col min="9228" max="9228" width="11.125" customWidth="1"/>
    <col min="9229" max="9230" width="10.875" customWidth="1"/>
    <col min="9231" max="9231" width="11" customWidth="1"/>
    <col min="9232" max="9232" width="11.375" customWidth="1"/>
    <col min="9473" max="9473" width="3.875" customWidth="1"/>
    <col min="9474" max="9474" width="16.25" customWidth="1"/>
    <col min="9475" max="9475" width="11.75" customWidth="1"/>
    <col min="9476" max="9481" width="11.875" customWidth="1"/>
    <col min="9482" max="9482" width="12" customWidth="1"/>
    <col min="9483" max="9483" width="11.375" customWidth="1"/>
    <col min="9484" max="9484" width="11.125" customWidth="1"/>
    <col min="9485" max="9486" width="10.875" customWidth="1"/>
    <col min="9487" max="9487" width="11" customWidth="1"/>
    <col min="9488" max="9488" width="11.375" customWidth="1"/>
    <col min="9729" max="9729" width="3.875" customWidth="1"/>
    <col min="9730" max="9730" width="16.25" customWidth="1"/>
    <col min="9731" max="9731" width="11.75" customWidth="1"/>
    <col min="9732" max="9737" width="11.875" customWidth="1"/>
    <col min="9738" max="9738" width="12" customWidth="1"/>
    <col min="9739" max="9739" width="11.375" customWidth="1"/>
    <col min="9740" max="9740" width="11.125" customWidth="1"/>
    <col min="9741" max="9742" width="10.875" customWidth="1"/>
    <col min="9743" max="9743" width="11" customWidth="1"/>
    <col min="9744" max="9744" width="11.375" customWidth="1"/>
    <col min="9985" max="9985" width="3.875" customWidth="1"/>
    <col min="9986" max="9986" width="16.25" customWidth="1"/>
    <col min="9987" max="9987" width="11.75" customWidth="1"/>
    <col min="9988" max="9993" width="11.875" customWidth="1"/>
    <col min="9994" max="9994" width="12" customWidth="1"/>
    <col min="9995" max="9995" width="11.375" customWidth="1"/>
    <col min="9996" max="9996" width="11.125" customWidth="1"/>
    <col min="9997" max="9998" width="10.875" customWidth="1"/>
    <col min="9999" max="9999" width="11" customWidth="1"/>
    <col min="10000" max="10000" width="11.375" customWidth="1"/>
    <col min="10241" max="10241" width="3.875" customWidth="1"/>
    <col min="10242" max="10242" width="16.25" customWidth="1"/>
    <col min="10243" max="10243" width="11.75" customWidth="1"/>
    <col min="10244" max="10249" width="11.875" customWidth="1"/>
    <col min="10250" max="10250" width="12" customWidth="1"/>
    <col min="10251" max="10251" width="11.375" customWidth="1"/>
    <col min="10252" max="10252" width="11.125" customWidth="1"/>
    <col min="10253" max="10254" width="10.875" customWidth="1"/>
    <col min="10255" max="10255" width="11" customWidth="1"/>
    <col min="10256" max="10256" width="11.375" customWidth="1"/>
    <col min="10497" max="10497" width="3.875" customWidth="1"/>
    <col min="10498" max="10498" width="16.25" customWidth="1"/>
    <col min="10499" max="10499" width="11.75" customWidth="1"/>
    <col min="10500" max="10505" width="11.875" customWidth="1"/>
    <col min="10506" max="10506" width="12" customWidth="1"/>
    <col min="10507" max="10507" width="11.375" customWidth="1"/>
    <col min="10508" max="10508" width="11.125" customWidth="1"/>
    <col min="10509" max="10510" width="10.875" customWidth="1"/>
    <col min="10511" max="10511" width="11" customWidth="1"/>
    <col min="10512" max="10512" width="11.375" customWidth="1"/>
    <col min="10753" max="10753" width="3.875" customWidth="1"/>
    <col min="10754" max="10754" width="16.25" customWidth="1"/>
    <col min="10755" max="10755" width="11.75" customWidth="1"/>
    <col min="10756" max="10761" width="11.875" customWidth="1"/>
    <col min="10762" max="10762" width="12" customWidth="1"/>
    <col min="10763" max="10763" width="11.375" customWidth="1"/>
    <col min="10764" max="10764" width="11.125" customWidth="1"/>
    <col min="10765" max="10766" width="10.875" customWidth="1"/>
    <col min="10767" max="10767" width="11" customWidth="1"/>
    <col min="10768" max="10768" width="11.375" customWidth="1"/>
    <col min="11009" max="11009" width="3.875" customWidth="1"/>
    <col min="11010" max="11010" width="16.25" customWidth="1"/>
    <col min="11011" max="11011" width="11.75" customWidth="1"/>
    <col min="11012" max="11017" width="11.875" customWidth="1"/>
    <col min="11018" max="11018" width="12" customWidth="1"/>
    <col min="11019" max="11019" width="11.375" customWidth="1"/>
    <col min="11020" max="11020" width="11.125" customWidth="1"/>
    <col min="11021" max="11022" width="10.875" customWidth="1"/>
    <col min="11023" max="11023" width="11" customWidth="1"/>
    <col min="11024" max="11024" width="11.375" customWidth="1"/>
    <col min="11265" max="11265" width="3.875" customWidth="1"/>
    <col min="11266" max="11266" width="16.25" customWidth="1"/>
    <col min="11267" max="11267" width="11.75" customWidth="1"/>
    <col min="11268" max="11273" width="11.875" customWidth="1"/>
    <col min="11274" max="11274" width="12" customWidth="1"/>
    <col min="11275" max="11275" width="11.375" customWidth="1"/>
    <col min="11276" max="11276" width="11.125" customWidth="1"/>
    <col min="11277" max="11278" width="10.875" customWidth="1"/>
    <col min="11279" max="11279" width="11" customWidth="1"/>
    <col min="11280" max="11280" width="11.375" customWidth="1"/>
    <col min="11521" max="11521" width="3.875" customWidth="1"/>
    <col min="11522" max="11522" width="16.25" customWidth="1"/>
    <col min="11523" max="11523" width="11.75" customWidth="1"/>
    <col min="11524" max="11529" width="11.875" customWidth="1"/>
    <col min="11530" max="11530" width="12" customWidth="1"/>
    <col min="11531" max="11531" width="11.375" customWidth="1"/>
    <col min="11532" max="11532" width="11.125" customWidth="1"/>
    <col min="11533" max="11534" width="10.875" customWidth="1"/>
    <col min="11535" max="11535" width="11" customWidth="1"/>
    <col min="11536" max="11536" width="11.375" customWidth="1"/>
    <col min="11777" max="11777" width="3.875" customWidth="1"/>
    <col min="11778" max="11778" width="16.25" customWidth="1"/>
    <col min="11779" max="11779" width="11.75" customWidth="1"/>
    <col min="11780" max="11785" width="11.875" customWidth="1"/>
    <col min="11786" max="11786" width="12" customWidth="1"/>
    <col min="11787" max="11787" width="11.375" customWidth="1"/>
    <col min="11788" max="11788" width="11.125" customWidth="1"/>
    <col min="11789" max="11790" width="10.875" customWidth="1"/>
    <col min="11791" max="11791" width="11" customWidth="1"/>
    <col min="11792" max="11792" width="11.375" customWidth="1"/>
    <col min="12033" max="12033" width="3.875" customWidth="1"/>
    <col min="12034" max="12034" width="16.25" customWidth="1"/>
    <col min="12035" max="12035" width="11.75" customWidth="1"/>
    <col min="12036" max="12041" width="11.875" customWidth="1"/>
    <col min="12042" max="12042" width="12" customWidth="1"/>
    <col min="12043" max="12043" width="11.375" customWidth="1"/>
    <col min="12044" max="12044" width="11.125" customWidth="1"/>
    <col min="12045" max="12046" width="10.875" customWidth="1"/>
    <col min="12047" max="12047" width="11" customWidth="1"/>
    <col min="12048" max="12048" width="11.375" customWidth="1"/>
    <col min="12289" max="12289" width="3.875" customWidth="1"/>
    <col min="12290" max="12290" width="16.25" customWidth="1"/>
    <col min="12291" max="12291" width="11.75" customWidth="1"/>
    <col min="12292" max="12297" width="11.875" customWidth="1"/>
    <col min="12298" max="12298" width="12" customWidth="1"/>
    <col min="12299" max="12299" width="11.375" customWidth="1"/>
    <col min="12300" max="12300" width="11.125" customWidth="1"/>
    <col min="12301" max="12302" width="10.875" customWidth="1"/>
    <col min="12303" max="12303" width="11" customWidth="1"/>
    <col min="12304" max="12304" width="11.375" customWidth="1"/>
    <col min="12545" max="12545" width="3.875" customWidth="1"/>
    <col min="12546" max="12546" width="16.25" customWidth="1"/>
    <col min="12547" max="12547" width="11.75" customWidth="1"/>
    <col min="12548" max="12553" width="11.875" customWidth="1"/>
    <col min="12554" max="12554" width="12" customWidth="1"/>
    <col min="12555" max="12555" width="11.375" customWidth="1"/>
    <col min="12556" max="12556" width="11.125" customWidth="1"/>
    <col min="12557" max="12558" width="10.875" customWidth="1"/>
    <col min="12559" max="12559" width="11" customWidth="1"/>
    <col min="12560" max="12560" width="11.375" customWidth="1"/>
    <col min="12801" max="12801" width="3.875" customWidth="1"/>
    <col min="12802" max="12802" width="16.25" customWidth="1"/>
    <col min="12803" max="12803" width="11.75" customWidth="1"/>
    <col min="12804" max="12809" width="11.875" customWidth="1"/>
    <col min="12810" max="12810" width="12" customWidth="1"/>
    <col min="12811" max="12811" width="11.375" customWidth="1"/>
    <col min="12812" max="12812" width="11.125" customWidth="1"/>
    <col min="12813" max="12814" width="10.875" customWidth="1"/>
    <col min="12815" max="12815" width="11" customWidth="1"/>
    <col min="12816" max="12816" width="11.375" customWidth="1"/>
    <col min="13057" max="13057" width="3.875" customWidth="1"/>
    <col min="13058" max="13058" width="16.25" customWidth="1"/>
    <col min="13059" max="13059" width="11.75" customWidth="1"/>
    <col min="13060" max="13065" width="11.875" customWidth="1"/>
    <col min="13066" max="13066" width="12" customWidth="1"/>
    <col min="13067" max="13067" width="11.375" customWidth="1"/>
    <col min="13068" max="13068" width="11.125" customWidth="1"/>
    <col min="13069" max="13070" width="10.875" customWidth="1"/>
    <col min="13071" max="13071" width="11" customWidth="1"/>
    <col min="13072" max="13072" width="11.375" customWidth="1"/>
    <col min="13313" max="13313" width="3.875" customWidth="1"/>
    <col min="13314" max="13314" width="16.25" customWidth="1"/>
    <col min="13315" max="13315" width="11.75" customWidth="1"/>
    <col min="13316" max="13321" width="11.875" customWidth="1"/>
    <col min="13322" max="13322" width="12" customWidth="1"/>
    <col min="13323" max="13323" width="11.375" customWidth="1"/>
    <col min="13324" max="13324" width="11.125" customWidth="1"/>
    <col min="13325" max="13326" width="10.875" customWidth="1"/>
    <col min="13327" max="13327" width="11" customWidth="1"/>
    <col min="13328" max="13328" width="11.375" customWidth="1"/>
    <col min="13569" max="13569" width="3.875" customWidth="1"/>
    <col min="13570" max="13570" width="16.25" customWidth="1"/>
    <col min="13571" max="13571" width="11.75" customWidth="1"/>
    <col min="13572" max="13577" width="11.875" customWidth="1"/>
    <col min="13578" max="13578" width="12" customWidth="1"/>
    <col min="13579" max="13579" width="11.375" customWidth="1"/>
    <col min="13580" max="13580" width="11.125" customWidth="1"/>
    <col min="13581" max="13582" width="10.875" customWidth="1"/>
    <col min="13583" max="13583" width="11" customWidth="1"/>
    <col min="13584" max="13584" width="11.375" customWidth="1"/>
    <col min="13825" max="13825" width="3.875" customWidth="1"/>
    <col min="13826" max="13826" width="16.25" customWidth="1"/>
    <col min="13827" max="13827" width="11.75" customWidth="1"/>
    <col min="13828" max="13833" width="11.875" customWidth="1"/>
    <col min="13834" max="13834" width="12" customWidth="1"/>
    <col min="13835" max="13835" width="11.375" customWidth="1"/>
    <col min="13836" max="13836" width="11.125" customWidth="1"/>
    <col min="13837" max="13838" width="10.875" customWidth="1"/>
    <col min="13839" max="13839" width="11" customWidth="1"/>
    <col min="13840" max="13840" width="11.375" customWidth="1"/>
    <col min="14081" max="14081" width="3.875" customWidth="1"/>
    <col min="14082" max="14082" width="16.25" customWidth="1"/>
    <col min="14083" max="14083" width="11.75" customWidth="1"/>
    <col min="14084" max="14089" width="11.875" customWidth="1"/>
    <col min="14090" max="14090" width="12" customWidth="1"/>
    <col min="14091" max="14091" width="11.375" customWidth="1"/>
    <col min="14092" max="14092" width="11.125" customWidth="1"/>
    <col min="14093" max="14094" width="10.875" customWidth="1"/>
    <col min="14095" max="14095" width="11" customWidth="1"/>
    <col min="14096" max="14096" width="11.375" customWidth="1"/>
    <col min="14337" max="14337" width="3.875" customWidth="1"/>
    <col min="14338" max="14338" width="16.25" customWidth="1"/>
    <col min="14339" max="14339" width="11.75" customWidth="1"/>
    <col min="14340" max="14345" width="11.875" customWidth="1"/>
    <col min="14346" max="14346" width="12" customWidth="1"/>
    <col min="14347" max="14347" width="11.375" customWidth="1"/>
    <col min="14348" max="14348" width="11.125" customWidth="1"/>
    <col min="14349" max="14350" width="10.875" customWidth="1"/>
    <col min="14351" max="14351" width="11" customWidth="1"/>
    <col min="14352" max="14352" width="11.375" customWidth="1"/>
    <col min="14593" max="14593" width="3.875" customWidth="1"/>
    <col min="14594" max="14594" width="16.25" customWidth="1"/>
    <col min="14595" max="14595" width="11.75" customWidth="1"/>
    <col min="14596" max="14601" width="11.875" customWidth="1"/>
    <col min="14602" max="14602" width="12" customWidth="1"/>
    <col min="14603" max="14603" width="11.375" customWidth="1"/>
    <col min="14604" max="14604" width="11.125" customWidth="1"/>
    <col min="14605" max="14606" width="10.875" customWidth="1"/>
    <col min="14607" max="14607" width="11" customWidth="1"/>
    <col min="14608" max="14608" width="11.375" customWidth="1"/>
    <col min="14849" max="14849" width="3.875" customWidth="1"/>
    <col min="14850" max="14850" width="16.25" customWidth="1"/>
    <col min="14851" max="14851" width="11.75" customWidth="1"/>
    <col min="14852" max="14857" width="11.875" customWidth="1"/>
    <col min="14858" max="14858" width="12" customWidth="1"/>
    <col min="14859" max="14859" width="11.375" customWidth="1"/>
    <col min="14860" max="14860" width="11.125" customWidth="1"/>
    <col min="14861" max="14862" width="10.875" customWidth="1"/>
    <col min="14863" max="14863" width="11" customWidth="1"/>
    <col min="14864" max="14864" width="11.375" customWidth="1"/>
    <col min="15105" max="15105" width="3.875" customWidth="1"/>
    <col min="15106" max="15106" width="16.25" customWidth="1"/>
    <col min="15107" max="15107" width="11.75" customWidth="1"/>
    <col min="15108" max="15113" width="11.875" customWidth="1"/>
    <col min="15114" max="15114" width="12" customWidth="1"/>
    <col min="15115" max="15115" width="11.375" customWidth="1"/>
    <col min="15116" max="15116" width="11.125" customWidth="1"/>
    <col min="15117" max="15118" width="10.875" customWidth="1"/>
    <col min="15119" max="15119" width="11" customWidth="1"/>
    <col min="15120" max="15120" width="11.375" customWidth="1"/>
    <col min="15361" max="15361" width="3.875" customWidth="1"/>
    <col min="15362" max="15362" width="16.25" customWidth="1"/>
    <col min="15363" max="15363" width="11.75" customWidth="1"/>
    <col min="15364" max="15369" width="11.875" customWidth="1"/>
    <col min="15370" max="15370" width="12" customWidth="1"/>
    <col min="15371" max="15371" width="11.375" customWidth="1"/>
    <col min="15372" max="15372" width="11.125" customWidth="1"/>
    <col min="15373" max="15374" width="10.875" customWidth="1"/>
    <col min="15375" max="15375" width="11" customWidth="1"/>
    <col min="15376" max="15376" width="11.375" customWidth="1"/>
    <col min="15617" max="15617" width="3.875" customWidth="1"/>
    <col min="15618" max="15618" width="16.25" customWidth="1"/>
    <col min="15619" max="15619" width="11.75" customWidth="1"/>
    <col min="15620" max="15625" width="11.875" customWidth="1"/>
    <col min="15626" max="15626" width="12" customWidth="1"/>
    <col min="15627" max="15627" width="11.375" customWidth="1"/>
    <col min="15628" max="15628" width="11.125" customWidth="1"/>
    <col min="15629" max="15630" width="10.875" customWidth="1"/>
    <col min="15631" max="15631" width="11" customWidth="1"/>
    <col min="15632" max="15632" width="11.375" customWidth="1"/>
    <col min="15873" max="15873" width="3.875" customWidth="1"/>
    <col min="15874" max="15874" width="16.25" customWidth="1"/>
    <col min="15875" max="15875" width="11.75" customWidth="1"/>
    <col min="15876" max="15881" width="11.875" customWidth="1"/>
    <col min="15882" max="15882" width="12" customWidth="1"/>
    <col min="15883" max="15883" width="11.375" customWidth="1"/>
    <col min="15884" max="15884" width="11.125" customWidth="1"/>
    <col min="15885" max="15886" width="10.875" customWidth="1"/>
    <col min="15887" max="15887" width="11" customWidth="1"/>
    <col min="15888" max="15888" width="11.375" customWidth="1"/>
    <col min="16129" max="16129" width="3.875" customWidth="1"/>
    <col min="16130" max="16130" width="16.25" customWidth="1"/>
    <col min="16131" max="16131" width="11.75" customWidth="1"/>
    <col min="16132" max="16137" width="11.875" customWidth="1"/>
    <col min="16138" max="16138" width="12" customWidth="1"/>
    <col min="16139" max="16139" width="11.375" customWidth="1"/>
    <col min="16140" max="16140" width="11.125" customWidth="1"/>
    <col min="16141" max="16142" width="10.875" customWidth="1"/>
    <col min="16143" max="16143" width="11" customWidth="1"/>
    <col min="16144" max="16144" width="11.375" customWidth="1"/>
  </cols>
  <sheetData>
    <row r="4" spans="1:16" ht="21" customHeight="1">
      <c r="A4" s="393" t="s">
        <v>275</v>
      </c>
      <c r="B4" s="393"/>
      <c r="C4" s="393"/>
      <c r="D4" s="393"/>
      <c r="E4" s="393"/>
      <c r="F4" s="393"/>
    </row>
    <row r="5" spans="1:16" ht="20.25" customHeight="1">
      <c r="A5" s="393"/>
      <c r="B5" s="393"/>
      <c r="C5" s="393"/>
      <c r="D5" s="393"/>
      <c r="E5" s="393"/>
      <c r="F5" s="393"/>
    </row>
    <row r="7" spans="1:16" ht="30" customHeight="1">
      <c r="A7" s="301" t="s">
        <v>140</v>
      </c>
      <c r="B7" s="302" t="s">
        <v>92</v>
      </c>
      <c r="C7" s="301">
        <v>2007</v>
      </c>
      <c r="D7" s="301">
        <v>2008</v>
      </c>
      <c r="E7" s="301">
        <v>2009</v>
      </c>
      <c r="F7" s="301">
        <v>2010</v>
      </c>
      <c r="G7" s="301">
        <v>2011</v>
      </c>
      <c r="H7" s="306">
        <v>2012</v>
      </c>
      <c r="I7" s="301">
        <v>2013</v>
      </c>
      <c r="J7" s="301">
        <v>2014</v>
      </c>
      <c r="K7" s="301">
        <v>2015</v>
      </c>
      <c r="L7" s="301">
        <v>2016</v>
      </c>
      <c r="M7" s="301">
        <v>2017</v>
      </c>
      <c r="N7" s="301">
        <v>2018</v>
      </c>
      <c r="O7" s="301">
        <v>2019</v>
      </c>
      <c r="P7" s="301">
        <v>2020</v>
      </c>
    </row>
    <row r="8" spans="1:16" ht="27.75" customHeight="1">
      <c r="A8" s="303">
        <v>1</v>
      </c>
      <c r="B8" s="304" t="s">
        <v>276</v>
      </c>
      <c r="C8" s="330">
        <v>908833652</v>
      </c>
      <c r="D8" s="330">
        <v>970011048</v>
      </c>
      <c r="E8" s="330">
        <v>1039676314</v>
      </c>
      <c r="F8" s="330">
        <v>946764743</v>
      </c>
      <c r="G8" s="329">
        <v>1059274605</v>
      </c>
      <c r="H8" s="350">
        <f>'DANE ZBIORCZE'!D52</f>
        <v>1117609768</v>
      </c>
      <c r="I8" s="329">
        <f>'DANE ZBIORCZE'!E52</f>
        <v>983793415</v>
      </c>
      <c r="J8" s="329">
        <f>'DANE ZBIORCZE'!F52</f>
        <v>903869144</v>
      </c>
      <c r="K8" s="329">
        <f>'DANE ZBIORCZE'!G52</f>
        <v>881026706</v>
      </c>
      <c r="L8" s="329">
        <f>'DANE ZBIORCZE'!H52</f>
        <v>848468126</v>
      </c>
      <c r="M8" s="329">
        <f>'DANE ZBIORCZE'!I52</f>
        <v>854278107</v>
      </c>
      <c r="N8" s="329">
        <f>'DANE ZBIORCZE'!J52</f>
        <v>859950780</v>
      </c>
      <c r="O8" s="329">
        <f>'DANE ZBIORCZE'!K52</f>
        <v>865494533</v>
      </c>
      <c r="P8" s="329">
        <f>'DANE ZBIORCZE'!L52</f>
        <v>871299054</v>
      </c>
    </row>
    <row r="9" spans="1:16" ht="28.5" customHeight="1">
      <c r="A9" s="303">
        <v>2</v>
      </c>
      <c r="B9" s="304" t="s">
        <v>277</v>
      </c>
      <c r="C9" s="330">
        <v>1112502.52</v>
      </c>
      <c r="D9" s="330">
        <v>2389824</v>
      </c>
      <c r="E9" s="330">
        <v>1449243</v>
      </c>
      <c r="F9" s="330">
        <v>6540689</v>
      </c>
      <c r="G9" s="329">
        <v>5097400</v>
      </c>
      <c r="H9" s="350">
        <f>'DANE ZBIORCZE'!D24</f>
        <v>5118720</v>
      </c>
      <c r="I9" s="329">
        <f>'DANE ZBIORCZE'!E24</f>
        <v>3746600</v>
      </c>
      <c r="J9" s="329">
        <f>'DANE ZBIORCZE'!F24</f>
        <v>5621600</v>
      </c>
      <c r="K9" s="329">
        <f>'DANE ZBIORCZE'!G24</f>
        <v>2221600</v>
      </c>
      <c r="L9" s="329">
        <f>'DANE ZBIORCZE'!H24</f>
        <v>3446600</v>
      </c>
      <c r="M9" s="329">
        <f>'DANE ZBIORCZE'!I24</f>
        <v>5546600</v>
      </c>
      <c r="N9" s="329">
        <f>'DANE ZBIORCZE'!J24</f>
        <v>5546600</v>
      </c>
      <c r="O9" s="329">
        <f>'DANE ZBIORCZE'!K24</f>
        <v>5396600</v>
      </c>
      <c r="P9" s="329">
        <f>'DANE ZBIORCZE'!L24</f>
        <v>5396600</v>
      </c>
    </row>
    <row r="10" spans="1:16" ht="28.5" customHeight="1">
      <c r="A10" s="303">
        <v>3</v>
      </c>
      <c r="B10" s="304" t="s">
        <v>278</v>
      </c>
      <c r="C10" s="330">
        <v>633547549</v>
      </c>
      <c r="D10" s="330">
        <v>739174464</v>
      </c>
      <c r="E10" s="330">
        <v>920057257</v>
      </c>
      <c r="F10" s="330">
        <v>741059249</v>
      </c>
      <c r="G10" s="329">
        <v>933627907</v>
      </c>
      <c r="H10" s="350">
        <f>'DANE ZBIORCZE'!D55</f>
        <v>963031279</v>
      </c>
      <c r="I10" s="329">
        <f>'DANE ZBIORCZE'!E55</f>
        <v>583069383</v>
      </c>
      <c r="J10" s="329">
        <f>'DANE ZBIORCZE'!F55</f>
        <v>576279710</v>
      </c>
      <c r="K10" s="329">
        <f>'DANE ZBIORCZE'!G55</f>
        <v>539862182</v>
      </c>
      <c r="L10" s="329">
        <f>'DANE ZBIORCZE'!H55</f>
        <v>544691807</v>
      </c>
      <c r="M10" s="329">
        <f>'DANE ZBIORCZE'!I55</f>
        <v>552001591</v>
      </c>
      <c r="N10" s="329">
        <f>'DANE ZBIORCZE'!J55</f>
        <v>559178418</v>
      </c>
      <c r="O10" s="329">
        <f>'DANE ZBIORCZE'!K55</f>
        <v>566557614</v>
      </c>
      <c r="P10" s="329">
        <f>'DANE ZBIORCZE'!L55</f>
        <v>574250140</v>
      </c>
    </row>
    <row r="11" spans="1:16" ht="28.5" customHeight="1">
      <c r="A11" s="303">
        <v>4</v>
      </c>
      <c r="B11" s="304" t="s">
        <v>279</v>
      </c>
      <c r="C11" s="330">
        <v>1126385138</v>
      </c>
      <c r="D11" s="330">
        <v>1143036215.1500001</v>
      </c>
      <c r="E11" s="330">
        <v>1533333032</v>
      </c>
      <c r="F11" s="330">
        <v>1338990951</v>
      </c>
      <c r="G11" s="329">
        <v>1381038077</v>
      </c>
      <c r="H11" s="350">
        <f>'DANE ZBIORCZE'!D51</f>
        <v>1329207513</v>
      </c>
      <c r="I11" s="329">
        <f>'DANE ZBIORCZE'!E51</f>
        <v>1663929585</v>
      </c>
      <c r="J11" s="329">
        <f>'DANE ZBIORCZE'!F51</f>
        <v>1451014436</v>
      </c>
      <c r="K11" s="329">
        <f>'DANE ZBIORCZE'!G51</f>
        <v>906761827</v>
      </c>
      <c r="L11" s="329">
        <f>'DANE ZBIORCZE'!H51</f>
        <v>870410726</v>
      </c>
      <c r="M11" s="329">
        <f>'DANE ZBIORCZE'!I51</f>
        <v>878320707</v>
      </c>
      <c r="N11" s="329">
        <f>'DANE ZBIORCZE'!J51</f>
        <v>883993380</v>
      </c>
      <c r="O11" s="329">
        <f>'DANE ZBIORCZE'!K51</f>
        <v>889387133</v>
      </c>
      <c r="P11" s="329">
        <f>'DANE ZBIORCZE'!L51</f>
        <v>895191654</v>
      </c>
    </row>
    <row r="12" spans="1:16" ht="64.5" customHeight="1">
      <c r="A12" s="303">
        <v>5</v>
      </c>
      <c r="B12" s="304" t="s">
        <v>280</v>
      </c>
      <c r="C12" s="305">
        <f t="shared" ref="C12:P12" si="0">(C8+C9-C10)/C11</f>
        <v>0.24538552240734551</v>
      </c>
      <c r="D12" s="305">
        <f t="shared" si="0"/>
        <v>0.20404113615017333</v>
      </c>
      <c r="E12" s="305">
        <f t="shared" si="0"/>
        <v>7.8957602473407093E-2</v>
      </c>
      <c r="F12" s="305">
        <f t="shared" si="0"/>
        <v>0.15851203687484816</v>
      </c>
      <c r="G12" s="305">
        <f t="shared" si="0"/>
        <v>9.4670885747055331E-2</v>
      </c>
      <c r="H12" s="351">
        <f t="shared" si="0"/>
        <v>0.12014467826740308</v>
      </c>
      <c r="I12" s="331">
        <f t="shared" si="0"/>
        <v>0.2430815796811498</v>
      </c>
      <c r="J12" s="331">
        <f t="shared" si="0"/>
        <v>0.22964005438743959</v>
      </c>
      <c r="K12" s="331">
        <f t="shared" si="0"/>
        <v>0.37869494918647473</v>
      </c>
      <c r="L12" s="331">
        <f t="shared" si="0"/>
        <v>0.35296315845262227</v>
      </c>
      <c r="M12" s="331">
        <f t="shared" si="0"/>
        <v>0.35046778875497925</v>
      </c>
      <c r="N12" s="331">
        <f t="shared" si="0"/>
        <v>0.34651725785548304</v>
      </c>
      <c r="O12" s="331">
        <f t="shared" si="0"/>
        <v>0.34218340664930669</v>
      </c>
      <c r="P12" s="331">
        <f t="shared" si="0"/>
        <v>0.33785560069575893</v>
      </c>
    </row>
    <row r="18" spans="3:3">
      <c r="C18" s="199"/>
    </row>
    <row r="20" spans="3:3">
      <c r="C20" s="199"/>
    </row>
    <row r="22" spans="3:3">
      <c r="C22" s="199"/>
    </row>
  </sheetData>
  <mergeCells count="1">
    <mergeCell ref="A4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zoomScale="90" zoomScaleNormal="90" workbookViewId="0">
      <selection activeCell="E34" sqref="E34"/>
    </sheetView>
  </sheetViews>
  <sheetFormatPr defaultRowHeight="14.25"/>
  <cols>
    <col min="1" max="1" width="3.25" customWidth="1"/>
    <col min="2" max="2" width="37.25" customWidth="1"/>
    <col min="3" max="3" width="11.875" customWidth="1"/>
    <col min="4" max="5" width="12" customWidth="1"/>
    <col min="6" max="6" width="11.875" customWidth="1"/>
    <col min="7" max="8" width="11.75" customWidth="1"/>
    <col min="9" max="10" width="11.375" customWidth="1"/>
    <col min="11" max="12" width="11.5" customWidth="1"/>
    <col min="13" max="13" width="11.375" customWidth="1"/>
    <col min="14" max="14" width="10.25" customWidth="1"/>
    <col min="15" max="15" width="10.125" customWidth="1"/>
  </cols>
  <sheetData>
    <row r="1" spans="1:13" ht="16.5" customHeight="1">
      <c r="A1" s="396"/>
      <c r="B1" s="396"/>
    </row>
    <row r="2" spans="1:13" ht="21" customHeight="1">
      <c r="A2" s="395" t="s">
        <v>172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</row>
    <row r="3" spans="1:13" ht="15" thickBot="1"/>
    <row r="4" spans="1:13" ht="25.5" customHeight="1" thickBot="1">
      <c r="A4" s="121" t="s">
        <v>91</v>
      </c>
      <c r="B4" s="85" t="s">
        <v>92</v>
      </c>
      <c r="C4" s="85">
        <v>2010</v>
      </c>
      <c r="D4" s="85">
        <v>2011</v>
      </c>
      <c r="E4" s="85">
        <v>2012</v>
      </c>
      <c r="F4" s="85">
        <v>2013</v>
      </c>
      <c r="G4" s="85">
        <v>2014</v>
      </c>
      <c r="H4" s="85">
        <v>2015</v>
      </c>
      <c r="I4" s="85">
        <v>2016</v>
      </c>
      <c r="J4" s="85">
        <v>2017</v>
      </c>
      <c r="K4" s="85">
        <v>2018</v>
      </c>
      <c r="L4" s="85">
        <v>2019</v>
      </c>
      <c r="M4" s="86">
        <v>2020</v>
      </c>
    </row>
    <row r="5" spans="1:13" hidden="1">
      <c r="A5" s="87">
        <v>1</v>
      </c>
      <c r="B5" s="88" t="s">
        <v>93</v>
      </c>
      <c r="C5" s="107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15" hidden="1">
      <c r="A6" s="90" t="s">
        <v>94</v>
      </c>
      <c r="B6" s="91" t="s">
        <v>95</v>
      </c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15" hidden="1">
      <c r="A7" s="90" t="s">
        <v>96</v>
      </c>
      <c r="B7" s="91" t="s">
        <v>97</v>
      </c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ht="15" hidden="1">
      <c r="A8" s="90" t="s">
        <v>98</v>
      </c>
      <c r="B8" s="91" t="s">
        <v>99</v>
      </c>
      <c r="C8" s="91"/>
      <c r="D8" s="92"/>
      <c r="E8" s="92"/>
      <c r="F8" s="92"/>
      <c r="G8" s="92"/>
      <c r="H8" s="92"/>
      <c r="I8" s="92"/>
      <c r="J8" s="92"/>
      <c r="K8" s="92"/>
      <c r="L8" s="92"/>
      <c r="M8" s="93"/>
    </row>
    <row r="9" spans="1:13" ht="38.25" hidden="1">
      <c r="A9" s="94">
        <v>2</v>
      </c>
      <c r="B9" s="95" t="s">
        <v>100</v>
      </c>
      <c r="C9" s="95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15" hidden="1">
      <c r="A10" s="90" t="s">
        <v>94</v>
      </c>
      <c r="B10" s="96" t="s">
        <v>101</v>
      </c>
      <c r="C10" s="96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ht="15" hidden="1">
      <c r="A11" s="90" t="s">
        <v>96</v>
      </c>
      <c r="B11" s="96" t="s">
        <v>102</v>
      </c>
      <c r="C11" s="96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1:13" ht="15" hidden="1">
      <c r="A12" s="90" t="s">
        <v>98</v>
      </c>
      <c r="B12" s="96" t="s">
        <v>103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3"/>
    </row>
    <row r="13" spans="1:13" ht="45" hidden="1">
      <c r="A13" s="90" t="s">
        <v>104</v>
      </c>
      <c r="B13" s="96" t="s">
        <v>105</v>
      </c>
      <c r="C13" s="96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 ht="15" hidden="1">
      <c r="A14" s="90" t="s">
        <v>106</v>
      </c>
      <c r="B14" s="96" t="s">
        <v>107</v>
      </c>
      <c r="C14" s="96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3" ht="15" hidden="1">
      <c r="A15" s="90" t="s">
        <v>108</v>
      </c>
      <c r="B15" s="96" t="s">
        <v>109</v>
      </c>
      <c r="C15" s="96"/>
      <c r="D15" s="92"/>
      <c r="E15" s="92"/>
      <c r="F15" s="92"/>
      <c r="G15" s="92"/>
      <c r="H15" s="92"/>
      <c r="I15" s="92"/>
      <c r="J15" s="92"/>
      <c r="K15" s="92"/>
      <c r="L15" s="92"/>
      <c r="M15" s="92"/>
    </row>
    <row r="16" spans="1:13" ht="15" hidden="1">
      <c r="A16" s="90" t="s">
        <v>110</v>
      </c>
      <c r="B16" s="96" t="s">
        <v>111</v>
      </c>
      <c r="C16" s="96"/>
      <c r="D16" s="92"/>
      <c r="E16" s="92"/>
      <c r="F16" s="92"/>
      <c r="G16" s="92"/>
      <c r="H16" s="92"/>
      <c r="I16" s="92"/>
      <c r="J16" s="92"/>
      <c r="K16" s="92"/>
      <c r="L16" s="92"/>
      <c r="M16" s="93"/>
    </row>
    <row r="17" spans="1:15" ht="30" hidden="1">
      <c r="A17" s="90" t="s">
        <v>112</v>
      </c>
      <c r="B17" s="96" t="s">
        <v>113</v>
      </c>
      <c r="C17" s="96"/>
      <c r="D17" s="92"/>
      <c r="E17" s="92"/>
      <c r="F17" s="92"/>
      <c r="G17" s="92"/>
      <c r="H17" s="92"/>
      <c r="I17" s="92"/>
      <c r="J17" s="92"/>
      <c r="K17" s="92"/>
      <c r="L17" s="92"/>
      <c r="M17" s="93"/>
    </row>
    <row r="18" spans="1:15" ht="25.5" hidden="1">
      <c r="A18" s="94">
        <v>3</v>
      </c>
      <c r="B18" s="95" t="s">
        <v>114</v>
      </c>
      <c r="C18" s="95"/>
      <c r="D18" s="92"/>
      <c r="E18" s="92"/>
      <c r="F18" s="92"/>
      <c r="G18" s="92"/>
      <c r="H18" s="92"/>
      <c r="I18" s="92"/>
      <c r="J18" s="92"/>
      <c r="K18" s="92"/>
      <c r="L18" s="92"/>
      <c r="M18" s="93"/>
    </row>
    <row r="19" spans="1:15" ht="25.5" hidden="1">
      <c r="A19" s="94">
        <v>4</v>
      </c>
      <c r="B19" s="95" t="s">
        <v>115</v>
      </c>
      <c r="C19" s="95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1:15" ht="45" hidden="1">
      <c r="A20" s="90" t="s">
        <v>94</v>
      </c>
      <c r="B20" s="96" t="s">
        <v>116</v>
      </c>
      <c r="C20" s="96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1" spans="1:15" hidden="1">
      <c r="A21" s="94">
        <v>5</v>
      </c>
      <c r="B21" s="97" t="s">
        <v>117</v>
      </c>
      <c r="C21" s="97"/>
      <c r="D21" s="92"/>
      <c r="E21" s="92"/>
      <c r="F21" s="92"/>
      <c r="G21" s="92"/>
      <c r="H21" s="92"/>
      <c r="I21" s="92"/>
      <c r="J21" s="92"/>
      <c r="K21" s="92"/>
      <c r="L21" s="92"/>
      <c r="M21" s="92"/>
    </row>
    <row r="22" spans="1:15" hidden="1">
      <c r="A22" s="94">
        <v>6</v>
      </c>
      <c r="B22" s="97" t="s">
        <v>118</v>
      </c>
      <c r="C22" s="97"/>
      <c r="D22" s="92"/>
      <c r="E22" s="92"/>
      <c r="F22" s="92"/>
      <c r="G22" s="92"/>
      <c r="H22" s="92"/>
      <c r="I22" s="92"/>
      <c r="J22" s="92"/>
      <c r="K22" s="92"/>
      <c r="L22" s="92"/>
      <c r="M22" s="93"/>
    </row>
    <row r="23" spans="1:15" ht="35.25" customHeight="1">
      <c r="A23" s="118">
        <v>1</v>
      </c>
      <c r="B23" s="119" t="s">
        <v>119</v>
      </c>
      <c r="C23" s="120">
        <f>SUM(C24:C26)</f>
        <v>9851935.3200000003</v>
      </c>
      <c r="D23" s="120">
        <f t="shared" ref="D23:M23" si="0">SUM(D24:D26)</f>
        <v>31530358.417652056</v>
      </c>
      <c r="E23" s="120">
        <f t="shared" si="0"/>
        <v>66681598.766126849</v>
      </c>
      <c r="F23" s="120">
        <f t="shared" si="0"/>
        <v>117990566.15506302</v>
      </c>
      <c r="G23" s="120">
        <f t="shared" si="0"/>
        <v>127643386.34633562</v>
      </c>
      <c r="H23" s="120">
        <f t="shared" si="0"/>
        <v>118682906.5361096</v>
      </c>
      <c r="I23" s="120">
        <f t="shared" si="0"/>
        <v>114846002.89249314</v>
      </c>
      <c r="J23" s="120">
        <f t="shared" si="0"/>
        <v>110309172.48887672</v>
      </c>
      <c r="K23" s="120">
        <f t="shared" si="0"/>
        <v>105185148.52142465</v>
      </c>
      <c r="L23" s="120">
        <f t="shared" si="0"/>
        <v>100007970.45928767</v>
      </c>
      <c r="M23" s="120">
        <f t="shared" si="0"/>
        <v>94306708.161134243</v>
      </c>
      <c r="O23" s="36"/>
    </row>
    <row r="24" spans="1:15" ht="32.25" customHeight="1">
      <c r="A24" s="90"/>
      <c r="B24" s="98" t="s">
        <v>131</v>
      </c>
      <c r="C24" s="92">
        <v>8000000</v>
      </c>
      <c r="D24" s="92">
        <f>'Kredyt - 40 mln'!F16+Stadion!F28+Drogi!F28+'Kultura, Akcje+Elfy'!F28</f>
        <v>22177476.960000001</v>
      </c>
      <c r="E24" s="92">
        <f>'Kredyt - 40 mln'!F40+Stadion!F40+Drogi!F40+'Kultura, Akcje+Elfy'!F40+'KREDYTY 2011'!F40</f>
        <v>44026809</v>
      </c>
      <c r="F24" s="92">
        <f>'Kredyt - 40 mln'!F52+Stadion!F52+Drogi!F52+'Kultura, Akcje+Elfy'!F52+'KREDYTY 2011'!F52+'Kredyt 2012'!F52</f>
        <v>81870680</v>
      </c>
      <c r="G24" s="92">
        <f>'Kredyt - 40 mln'!F64+Stadion!F64+Drogi!F64+'Kultura, Akcje+Elfy'!F64+'KREDYTY 2011'!F64+'Kredyt 2012'!F64+'KREDYT 2013'!F27</f>
        <v>95163652</v>
      </c>
      <c r="H24" s="156">
        <f>Stadion!F76+Drogi!F76+'Kultura, Akcje+Elfy'!F76+'KREDYTY 2011'!F76+'Kredyt 2012'!F76+'KREDYT 2013'!F39+'KREDYT 2014'!F28</f>
        <v>92505276</v>
      </c>
      <c r="I24" s="92">
        <f>Stadion!F88+Drogi!F88+'Kultura, Akcje+Elfy'!F88+'KREDYTY 2011'!F88+'Kredyt 2012'!F88+'KREDYT 2013'!F51+'KREDYT 2014'!F40</f>
        <v>92505276</v>
      </c>
      <c r="J24" s="92">
        <f>Stadion!F100+Drogi!F100+'Kultura, Akcje+Elfy'!F100+'KREDYTY 2011'!F100+'Kredyt 2012'!F100+'KREDYT 2013'!F63+'KREDYT 2014'!F52</f>
        <v>92505276</v>
      </c>
      <c r="K24" s="92">
        <f>Stadion!F112+Drogi!F112+'Kultura, Akcje+Elfy'!F112+'KREDYTY 2011'!F112+'Kredyt 2012'!F112+'KREDYT 2013'!F75+'KREDYT 2014'!F64</f>
        <v>92505276</v>
      </c>
      <c r="L24" s="92">
        <f>Stadion!F124+Drogi!F124+'Kultura, Akcje+Elfy'!F124+'KREDYTY 2011'!F124+'Kredyt 2012'!F124+'KREDYT 2013'!F87+'KREDYT 2014'!F76</f>
        <v>92505276</v>
      </c>
      <c r="M24" s="92">
        <f>Stadion!F136+Drogi!F136+'Kultura, Akcje+Elfy'!F136+'KREDYTY 2011'!F136+'Kredyt 2012'!F136+'KREDYT 2013'!F99+'KREDYT 2014'!F88</f>
        <v>92505295.8116</v>
      </c>
      <c r="O24" s="106"/>
    </row>
    <row r="25" spans="1:15" ht="31.5" customHeight="1">
      <c r="A25" s="90"/>
      <c r="B25" s="99" t="s">
        <v>132</v>
      </c>
      <c r="C25" s="92">
        <f>550859.71+483837.91+434378.84+382858.86</f>
        <v>1851935.3199999998</v>
      </c>
      <c r="D25" s="92">
        <f>'Kredyt - 40 mln'!C14+Stadion!C27+Drogi!C27+'Kultura, Akcje+Elfy'!C27</f>
        <v>9352881.4576520547</v>
      </c>
      <c r="E25" s="92">
        <f>'Kredyt - 40 mln'!C39+Stadion!C39+Drogi!C39+'Kultura, Akcje+Elfy'!C39+'KREDYTY 2011'!C39-4+353</f>
        <v>22654789.766126849</v>
      </c>
      <c r="F25" s="92">
        <f>'Kredyt - 40 mln'!C51+Stadion!C51+Drogi!C51+'Kultura, Akcje+Elfy'!C51+'KREDYTY 2011'!C51+'Kredyt 2012'!C51</f>
        <v>36119886.155063018</v>
      </c>
      <c r="G25" s="92">
        <f>'Kredyt - 40 mln'!C63+Stadion!C63+Drogi!C63+'Kultura, Akcje+Elfy'!C63+'KREDYTY 2011'!C63+'Kredyt 2012'!C63+'KREDYT 2013'!C26</f>
        <v>32479734.346335612</v>
      </c>
      <c r="H25" s="92">
        <f>Stadion!C75+Drogi!C75+'Kultura, Akcje+Elfy'!C75+'KREDYTY 2011'!C75+'Kredyt 2012'!C75+'KREDYT 2013'!C38+'KREDYT 2014'!C27</f>
        <v>26177630.536109593</v>
      </c>
      <c r="I25" s="92">
        <f>Stadion!C87+Drogi!C87+'Kultura, Akcje+Elfy'!C87+'KREDYTY 2011'!C87+'Kredyt 2012'!C87+'KREDYT 2013'!C50+'KREDYT 2014'!C39</f>
        <v>22340726.892493147</v>
      </c>
      <c r="J25" s="92">
        <f>Stadion!C99+Drogi!C99+'Kultura, Akcje+Elfy'!C99+'KREDYTY 2011'!C99+'Kredyt 2012'!C99+'KREDYT 2013'!C62+'KREDYT 2014'!C51</f>
        <v>17803896.488876712</v>
      </c>
      <c r="K25" s="92">
        <f>Stadion!C111+Drogi!C111+'Kultura, Akcje+Elfy'!C111+'KREDYTY 2011'!C111+'Kredyt 2012'!C111+'KREDYT 2013'!C74+'KREDYT 2014'!C63</f>
        <v>12679872.521424659</v>
      </c>
      <c r="L25" s="92">
        <f>Stadion!C123+Drogi!C123+'Kultura, Akcje+Elfy'!C123+'KREDYTY 2011'!C123+'Kredyt 2012'!C123+'KREDYT 2013'!C86+'KREDYT 2014'!C75</f>
        <v>7502694.4592876714</v>
      </c>
      <c r="M25" s="93">
        <f>Stadion!C135+Drogi!C135+'Kultura, Akcje+Elfy'!C135+'KREDYTY 2011'!C135+'Kredyt 2012'!C134+'KREDYT 2013'!C98+'KREDYT 2014'!C87</f>
        <v>1801412.3495342468</v>
      </c>
      <c r="O25" s="106"/>
    </row>
    <row r="26" spans="1:15" ht="25.5" hidden="1">
      <c r="A26" s="94"/>
      <c r="B26" s="100" t="s">
        <v>120</v>
      </c>
      <c r="C26" s="100"/>
      <c r="D26" s="92"/>
      <c r="E26" s="92"/>
      <c r="F26" s="92"/>
      <c r="G26" s="92"/>
      <c r="H26" s="92"/>
      <c r="I26" s="92"/>
      <c r="J26" s="92"/>
      <c r="K26" s="92"/>
      <c r="L26" s="92"/>
      <c r="M26" s="92"/>
      <c r="O26" s="38"/>
    </row>
    <row r="27" spans="1:15" hidden="1">
      <c r="A27" s="94"/>
      <c r="B27" s="97" t="s">
        <v>121</v>
      </c>
      <c r="C27" s="97"/>
      <c r="D27" s="92"/>
      <c r="E27" s="92"/>
      <c r="F27" s="92"/>
      <c r="G27" s="92"/>
      <c r="H27" s="92"/>
      <c r="I27" s="92"/>
      <c r="J27" s="92"/>
      <c r="K27" s="92"/>
      <c r="L27" s="92"/>
      <c r="M27" s="92"/>
      <c r="O27" s="38"/>
    </row>
    <row r="28" spans="1:15" hidden="1">
      <c r="A28" s="94"/>
      <c r="B28" s="97" t="s">
        <v>122</v>
      </c>
      <c r="C28" s="97"/>
      <c r="D28" s="92"/>
      <c r="E28" s="92"/>
      <c r="F28" s="92"/>
      <c r="G28" s="92"/>
      <c r="H28" s="92"/>
      <c r="I28" s="92"/>
      <c r="J28" s="92"/>
      <c r="K28" s="92"/>
      <c r="L28" s="92"/>
      <c r="M28" s="93"/>
      <c r="O28" s="36"/>
    </row>
    <row r="29" spans="1:15" ht="15" hidden="1">
      <c r="A29" s="90"/>
      <c r="B29" s="99" t="s">
        <v>123</v>
      </c>
      <c r="C29" s="99"/>
      <c r="D29" s="92"/>
      <c r="E29" s="92"/>
      <c r="F29" s="92"/>
      <c r="G29" s="92"/>
      <c r="H29" s="92"/>
      <c r="I29" s="92"/>
      <c r="J29" s="92"/>
      <c r="K29" s="92"/>
      <c r="L29" s="92"/>
      <c r="M29" s="93"/>
      <c r="O29" s="36"/>
    </row>
    <row r="30" spans="1:15" hidden="1">
      <c r="A30" s="94"/>
      <c r="B30" s="97" t="s">
        <v>124</v>
      </c>
      <c r="C30" s="97"/>
      <c r="D30" s="92"/>
      <c r="E30" s="92"/>
      <c r="F30" s="92"/>
      <c r="G30" s="92"/>
      <c r="H30" s="92"/>
      <c r="I30" s="92"/>
      <c r="J30" s="92"/>
      <c r="K30" s="92"/>
      <c r="L30" s="92"/>
      <c r="M30" s="92"/>
      <c r="O30" s="36"/>
    </row>
    <row r="31" spans="1:15" hidden="1">
      <c r="A31" s="94"/>
      <c r="B31" s="97" t="s">
        <v>125</v>
      </c>
      <c r="C31" s="97"/>
      <c r="D31" s="92"/>
      <c r="E31" s="92"/>
      <c r="F31" s="92"/>
      <c r="G31" s="92"/>
      <c r="H31" s="92"/>
      <c r="I31" s="92"/>
      <c r="J31" s="92"/>
      <c r="K31" s="92"/>
      <c r="L31" s="92"/>
      <c r="M31" s="92"/>
      <c r="O31" s="36"/>
    </row>
    <row r="32" spans="1:15" ht="15" hidden="1">
      <c r="A32" s="101"/>
      <c r="B32" s="102"/>
      <c r="C32" s="102"/>
      <c r="D32" s="103"/>
      <c r="E32" s="103"/>
      <c r="F32" s="103"/>
      <c r="G32" s="103"/>
      <c r="H32" s="103"/>
      <c r="I32" s="103"/>
      <c r="J32" s="103"/>
      <c r="K32" s="103"/>
      <c r="L32" s="104"/>
      <c r="M32" s="103"/>
    </row>
    <row r="33" spans="1:13" ht="24" customHeight="1">
      <c r="A33" s="90"/>
      <c r="B33" s="99" t="s">
        <v>133</v>
      </c>
      <c r="C33" s="92">
        <f>290400+93132.92</f>
        <v>383532.92</v>
      </c>
      <c r="D33" s="92">
        <v>1350000</v>
      </c>
      <c r="E33" s="92">
        <v>1500000</v>
      </c>
      <c r="F33" s="92">
        <f>'KREDYT 2013'!D106</f>
        <v>372208.54800000001</v>
      </c>
      <c r="G33" s="92">
        <f>'KREDYT 2014'!D95</f>
        <v>128195.12000000001</v>
      </c>
      <c r="H33" s="92"/>
      <c r="I33" s="92"/>
      <c r="J33" s="92"/>
      <c r="K33" s="92"/>
      <c r="L33" s="92"/>
      <c r="M33" s="93"/>
    </row>
    <row r="34" spans="1:13" ht="26.25" customHeight="1">
      <c r="A34" s="94">
        <v>2</v>
      </c>
      <c r="B34" s="97" t="s">
        <v>129</v>
      </c>
      <c r="C34" s="92">
        <f>'Zestawienie kredytów'!G3+'Zestawienie kredytów'!G19+11619</f>
        <v>173786162.77000001</v>
      </c>
      <c r="D34" s="92">
        <f>C34+'Zestawienie kredytów'!F26-D24-11619</f>
        <v>348240899.81</v>
      </c>
      <c r="E34" s="92">
        <f>D34+'Zestawienie kredytów'!F38-E24</f>
        <v>606965090.80999994</v>
      </c>
      <c r="F34" s="92">
        <f>E34-F24+'Zestawienie kredytów'!F50</f>
        <v>618146547.80999994</v>
      </c>
      <c r="G34" s="92">
        <f>F34-G24+'Zestawienie kredytów'!F60</f>
        <v>555031675.80999994</v>
      </c>
      <c r="H34" s="92">
        <f t="shared" ref="H34:M34" si="1">G34-H24</f>
        <v>462526399.80999994</v>
      </c>
      <c r="I34" s="92">
        <f t="shared" si="1"/>
        <v>370021123.80999994</v>
      </c>
      <c r="J34" s="92">
        <f t="shared" si="1"/>
        <v>277515847.80999994</v>
      </c>
      <c r="K34" s="92">
        <f t="shared" si="1"/>
        <v>185010571.80999994</v>
      </c>
      <c r="L34" s="92">
        <f t="shared" si="1"/>
        <v>92505295.809999943</v>
      </c>
      <c r="M34" s="92">
        <f t="shared" si="1"/>
        <v>-1.6000568866729736E-3</v>
      </c>
    </row>
    <row r="35" spans="1:13" ht="24.75" hidden="1" customHeight="1">
      <c r="A35" s="94">
        <v>3</v>
      </c>
      <c r="B35" s="97" t="s">
        <v>148</v>
      </c>
      <c r="C35" s="92"/>
      <c r="D35" s="92">
        <v>451230000</v>
      </c>
      <c r="E35" s="92">
        <v>395760000</v>
      </c>
      <c r="F35" s="92">
        <v>340290000</v>
      </c>
      <c r="G35" s="92">
        <v>284820000</v>
      </c>
      <c r="H35" s="92">
        <v>237350000</v>
      </c>
      <c r="I35" s="92">
        <v>189880000</v>
      </c>
      <c r="J35" s="92">
        <v>142410000</v>
      </c>
      <c r="K35" s="92">
        <v>94940000</v>
      </c>
      <c r="L35" s="92">
        <v>47470000</v>
      </c>
      <c r="M35" s="92">
        <v>0</v>
      </c>
    </row>
    <row r="36" spans="1:13">
      <c r="D36" s="105"/>
    </row>
    <row r="37" spans="1:13" ht="14.25" hidden="1" customHeight="1">
      <c r="C37" s="105"/>
      <c r="D37" s="108"/>
      <c r="E37" s="108"/>
      <c r="F37" s="109"/>
      <c r="G37" s="109"/>
      <c r="H37" s="109"/>
      <c r="I37" s="109"/>
      <c r="J37" s="109"/>
      <c r="K37" s="109"/>
      <c r="L37" s="109"/>
      <c r="M37" s="109"/>
    </row>
    <row r="38" spans="1:13" ht="15" hidden="1" customHeight="1" thickBot="1">
      <c r="C38" s="105"/>
      <c r="D38" s="108"/>
    </row>
    <row r="39" spans="1:13" ht="16.5" hidden="1" customHeight="1" thickBot="1">
      <c r="A39" s="122" t="s">
        <v>140</v>
      </c>
      <c r="B39" s="85" t="s">
        <v>92</v>
      </c>
      <c r="C39" s="85"/>
      <c r="D39" s="85">
        <v>2011</v>
      </c>
      <c r="E39" s="85">
        <v>2012</v>
      </c>
      <c r="F39" s="85">
        <v>2013</v>
      </c>
      <c r="G39" s="85">
        <v>2014</v>
      </c>
      <c r="H39" s="85">
        <v>2015</v>
      </c>
      <c r="I39" s="85">
        <v>2016</v>
      </c>
      <c r="J39" s="85">
        <v>2017</v>
      </c>
      <c r="K39" s="85">
        <v>2018</v>
      </c>
      <c r="L39" s="85">
        <v>2019</v>
      </c>
      <c r="M39" s="86">
        <v>2020</v>
      </c>
    </row>
    <row r="40" spans="1:13" ht="14.25" hidden="1" customHeight="1">
      <c r="A40" s="123">
        <v>1</v>
      </c>
      <c r="B40" s="124" t="s">
        <v>119</v>
      </c>
      <c r="C40" s="124"/>
      <c r="D40" s="125">
        <f>SUM(D41:D42)</f>
        <v>54760002</v>
      </c>
      <c r="E40" s="125">
        <f t="shared" ref="E40:M40" si="2">SUM(E41:E42)</f>
        <v>83751566</v>
      </c>
      <c r="F40" s="125">
        <f t="shared" si="2"/>
        <v>75691872</v>
      </c>
      <c r="G40" s="125">
        <f t="shared" si="2"/>
        <v>72384073</v>
      </c>
      <c r="H40" s="125">
        <f t="shared" si="2"/>
        <v>60638048</v>
      </c>
      <c r="I40" s="125">
        <f t="shared" si="2"/>
        <v>58570760</v>
      </c>
      <c r="J40" s="125">
        <f t="shared" si="2"/>
        <v>56313610</v>
      </c>
      <c r="K40" s="125">
        <f t="shared" si="2"/>
        <v>53770432</v>
      </c>
      <c r="L40" s="125">
        <f t="shared" si="2"/>
        <v>51274103</v>
      </c>
      <c r="M40" s="125">
        <f t="shared" si="2"/>
        <v>48933116</v>
      </c>
    </row>
    <row r="41" spans="1:13" ht="30" hidden="1" customHeight="1">
      <c r="A41" s="90" t="s">
        <v>94</v>
      </c>
      <c r="B41" s="98" t="s">
        <v>141</v>
      </c>
      <c r="C41" s="98"/>
      <c r="D41" s="92">
        <v>33996186</v>
      </c>
      <c r="E41" s="92">
        <v>55470000</v>
      </c>
      <c r="F41" s="92">
        <v>55470000</v>
      </c>
      <c r="G41" s="92">
        <v>55470000</v>
      </c>
      <c r="H41" s="92">
        <v>47470000</v>
      </c>
      <c r="I41" s="92">
        <v>47470000</v>
      </c>
      <c r="J41" s="92">
        <v>47470000</v>
      </c>
      <c r="K41" s="92">
        <v>47470000</v>
      </c>
      <c r="L41" s="92">
        <v>47470000</v>
      </c>
      <c r="M41" s="92">
        <v>47470000</v>
      </c>
    </row>
    <row r="42" spans="1:13" ht="15" hidden="1" customHeight="1">
      <c r="A42" s="90" t="s">
        <v>96</v>
      </c>
      <c r="B42" s="99" t="s">
        <v>142</v>
      </c>
      <c r="C42" s="99"/>
      <c r="D42" s="92">
        <f>20763816</f>
        <v>20763816</v>
      </c>
      <c r="E42" s="92">
        <v>28281566</v>
      </c>
      <c r="F42" s="92">
        <v>20221872</v>
      </c>
      <c r="G42" s="92">
        <v>16914073</v>
      </c>
      <c r="H42" s="92">
        <v>13168048</v>
      </c>
      <c r="I42" s="92">
        <v>11100760</v>
      </c>
      <c r="J42" s="92">
        <v>8843610</v>
      </c>
      <c r="K42" s="92">
        <v>6300432</v>
      </c>
      <c r="L42" s="92">
        <v>3804103</v>
      </c>
      <c r="M42" s="93">
        <v>1463116</v>
      </c>
    </row>
    <row r="43" spans="1:13" ht="14.25" hidden="1" customHeight="1">
      <c r="A43" s="94">
        <v>2</v>
      </c>
      <c r="B43" s="97" t="s">
        <v>129</v>
      </c>
      <c r="C43" s="97"/>
      <c r="D43" s="126">
        <f>451230000</f>
        <v>451230000</v>
      </c>
      <c r="E43" s="126">
        <f>395760000</f>
        <v>395760000</v>
      </c>
      <c r="F43" s="126">
        <f>340290000</f>
        <v>340290000</v>
      </c>
      <c r="G43" s="126">
        <f>284820000</f>
        <v>284820000</v>
      </c>
      <c r="H43" s="126">
        <f>237350000</f>
        <v>237350000</v>
      </c>
      <c r="I43" s="126">
        <f>189880000</f>
        <v>189880000</v>
      </c>
      <c r="J43" s="126">
        <f>142410000</f>
        <v>142410000</v>
      </c>
      <c r="K43" s="126">
        <f>94940000</f>
        <v>94940000</v>
      </c>
      <c r="L43" s="126">
        <f>47470000</f>
        <v>47470000</v>
      </c>
      <c r="M43" s="127">
        <v>0</v>
      </c>
    </row>
    <row r="44" spans="1:13" ht="14.25" hidden="1" customHeight="1"/>
    <row r="45" spans="1:13" ht="48.75" hidden="1" customHeight="1" thickBot="1">
      <c r="A45" s="398" t="s">
        <v>143</v>
      </c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</row>
    <row r="46" spans="1:13" ht="31.5" hidden="1" customHeight="1" thickBot="1">
      <c r="A46" s="121" t="s">
        <v>91</v>
      </c>
      <c r="B46" s="399" t="s">
        <v>92</v>
      </c>
      <c r="C46" s="400"/>
      <c r="D46" s="85">
        <v>2011</v>
      </c>
      <c r="E46" s="85">
        <v>2012</v>
      </c>
      <c r="F46" s="85">
        <v>2013</v>
      </c>
      <c r="G46" s="85">
        <v>2014</v>
      </c>
      <c r="H46" s="85">
        <v>2015</v>
      </c>
      <c r="I46" s="85">
        <v>2016</v>
      </c>
      <c r="J46" s="85">
        <v>2017</v>
      </c>
      <c r="K46" s="85">
        <v>2018</v>
      </c>
      <c r="L46" s="85">
        <v>2019</v>
      </c>
      <c r="M46" s="86">
        <v>2020</v>
      </c>
    </row>
    <row r="47" spans="1:13" ht="23.25" hidden="1" customHeight="1">
      <c r="A47" s="118">
        <v>1</v>
      </c>
      <c r="B47" s="128" t="s">
        <v>119</v>
      </c>
      <c r="C47" s="131"/>
      <c r="D47" s="120">
        <f t="shared" ref="D47:M47" si="3">SUM(D48:D50)</f>
        <v>23229643.582347944</v>
      </c>
      <c r="E47" s="120">
        <f t="shared" si="3"/>
        <v>17069967.233873151</v>
      </c>
      <c r="F47" s="120">
        <f t="shared" si="3"/>
        <v>-42298694.155063018</v>
      </c>
      <c r="G47" s="120">
        <f t="shared" si="3"/>
        <v>-55259313.346335612</v>
      </c>
      <c r="H47" s="120">
        <f t="shared" si="3"/>
        <v>-58044858.536109596</v>
      </c>
      <c r="I47" s="120">
        <f t="shared" si="3"/>
        <v>-56275242.892493144</v>
      </c>
      <c r="J47" s="120">
        <f t="shared" si="3"/>
        <v>-53995562.488876715</v>
      </c>
      <c r="K47" s="120">
        <f t="shared" si="3"/>
        <v>-51414716.521424659</v>
      </c>
      <c r="L47" s="120">
        <f t="shared" si="3"/>
        <v>-48733867.459287673</v>
      </c>
      <c r="M47" s="120">
        <f t="shared" si="3"/>
        <v>-45373592.161134243</v>
      </c>
    </row>
    <row r="48" spans="1:13" ht="21" hidden="1" customHeight="1">
      <c r="A48" s="90"/>
      <c r="B48" s="129" t="s">
        <v>131</v>
      </c>
      <c r="C48" s="93"/>
      <c r="D48" s="92">
        <f>D41-D24</f>
        <v>11818709.039999999</v>
      </c>
      <c r="E48" s="92">
        <f t="shared" ref="E48:M48" si="4">E41-E24</f>
        <v>11443191</v>
      </c>
      <c r="F48" s="92">
        <f t="shared" si="4"/>
        <v>-26400680</v>
      </c>
      <c r="G48" s="92">
        <f t="shared" si="4"/>
        <v>-39693652</v>
      </c>
      <c r="H48" s="92">
        <f t="shared" si="4"/>
        <v>-45035276</v>
      </c>
      <c r="I48" s="92">
        <f t="shared" si="4"/>
        <v>-45035276</v>
      </c>
      <c r="J48" s="92">
        <f t="shared" si="4"/>
        <v>-45035276</v>
      </c>
      <c r="K48" s="92">
        <f t="shared" si="4"/>
        <v>-45035276</v>
      </c>
      <c r="L48" s="92">
        <f t="shared" si="4"/>
        <v>-45035276</v>
      </c>
      <c r="M48" s="92">
        <f t="shared" si="4"/>
        <v>-45035295.8116</v>
      </c>
    </row>
    <row r="49" spans="1:13" ht="25.5" hidden="1" customHeight="1">
      <c r="A49" s="90"/>
      <c r="B49" s="130" t="s">
        <v>132</v>
      </c>
      <c r="C49" s="93"/>
      <c r="D49" s="92">
        <f>D42-D25</f>
        <v>11410934.542347945</v>
      </c>
      <c r="E49" s="92">
        <f t="shared" ref="E49:M49" si="5">E42-E25</f>
        <v>5626776.2338731512</v>
      </c>
      <c r="F49" s="92">
        <f t="shared" si="5"/>
        <v>-15898014.155063018</v>
      </c>
      <c r="G49" s="92">
        <f t="shared" si="5"/>
        <v>-15565661.346335612</v>
      </c>
      <c r="H49" s="92">
        <f t="shared" si="5"/>
        <v>-13009582.536109593</v>
      </c>
      <c r="I49" s="92">
        <f t="shared" si="5"/>
        <v>-11239966.892493147</v>
      </c>
      <c r="J49" s="92">
        <f t="shared" si="5"/>
        <v>-8960286.4888767116</v>
      </c>
      <c r="K49" s="92">
        <f t="shared" si="5"/>
        <v>-6379440.5214246586</v>
      </c>
      <c r="L49" s="92">
        <f t="shared" si="5"/>
        <v>-3698591.4592876714</v>
      </c>
      <c r="M49" s="92">
        <f t="shared" si="5"/>
        <v>-338296.34953424684</v>
      </c>
    </row>
    <row r="50" spans="1:13" ht="14.25" hidden="1" customHeight="1"/>
    <row r="52" spans="1:13">
      <c r="A52" s="397">
        <f>DATE(2011,9,27)</f>
        <v>40813</v>
      </c>
      <c r="B52" s="39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394" t="s">
        <v>145</v>
      </c>
      <c r="B53" s="394"/>
      <c r="C53" s="1"/>
      <c r="D53" s="143"/>
      <c r="E53" s="143"/>
      <c r="F53" s="143"/>
      <c r="G53" s="143"/>
      <c r="H53" s="143"/>
      <c r="I53" s="143"/>
      <c r="J53" s="143"/>
      <c r="K53" s="143"/>
      <c r="L53" s="143"/>
      <c r="M53" s="143"/>
    </row>
    <row r="54" spans="1:13">
      <c r="A54" s="394" t="s">
        <v>144</v>
      </c>
      <c r="B54" s="394"/>
      <c r="C54" s="1"/>
      <c r="D54" s="143"/>
      <c r="E54" s="143"/>
      <c r="F54" s="143"/>
      <c r="G54" s="143"/>
      <c r="H54" s="143"/>
      <c r="I54" s="143"/>
      <c r="J54" s="143"/>
      <c r="K54" s="143"/>
      <c r="L54" s="143"/>
      <c r="M54" s="143"/>
    </row>
    <row r="55" spans="1:13">
      <c r="C55" s="1"/>
      <c r="D55" s="143"/>
      <c r="E55" s="143"/>
      <c r="F55" s="143"/>
      <c r="G55" s="143"/>
      <c r="H55" s="143"/>
      <c r="I55" s="143"/>
      <c r="J55" s="143"/>
      <c r="K55" s="143"/>
      <c r="L55" s="143"/>
      <c r="M55" s="143"/>
    </row>
    <row r="56" spans="1:13"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"/>
    </row>
    <row r="57" spans="1:13"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"/>
    </row>
    <row r="58" spans="1:13"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"/>
    </row>
    <row r="59" spans="1:1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mergeCells count="7">
    <mergeCell ref="A54:B54"/>
    <mergeCell ref="A53:B53"/>
    <mergeCell ref="A2:M2"/>
    <mergeCell ref="A1:B1"/>
    <mergeCell ref="A52:B52"/>
    <mergeCell ref="A45:M45"/>
    <mergeCell ref="B46:C46"/>
  </mergeCells>
  <pageMargins left="0.19685039370078741" right="0.15748031496062992" top="0.43307086614173229" bottom="0.74803149606299213" header="0.15748031496062992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79"/>
  <sheetViews>
    <sheetView topLeftCell="A4" workbookViewId="0">
      <selection activeCell="I72" sqref="I72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02" t="s">
        <v>158</v>
      </c>
      <c r="B2" s="402"/>
      <c r="C2" s="402"/>
      <c r="D2" s="402"/>
      <c r="E2" s="402"/>
      <c r="F2" s="402"/>
    </row>
    <row r="3" spans="1:7">
      <c r="A3" s="403"/>
      <c r="B3" s="403"/>
      <c r="C3" s="403"/>
      <c r="D3" s="403"/>
      <c r="F3" s="67" t="s">
        <v>80</v>
      </c>
      <c r="G3" s="68"/>
    </row>
    <row r="4" spans="1:7" ht="15" thickBot="1">
      <c r="D4" s="11" t="s">
        <v>14</v>
      </c>
    </row>
    <row r="5" spans="1:7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7" ht="15.75">
      <c r="A6" s="15" t="s">
        <v>83</v>
      </c>
      <c r="B6" s="16"/>
      <c r="C6" s="17"/>
      <c r="D6" s="18"/>
      <c r="F6" s="70"/>
    </row>
    <row r="7" spans="1:7" ht="15.75">
      <c r="A7" s="19">
        <v>31999836</v>
      </c>
      <c r="B7" s="20">
        <v>5.5E-2</v>
      </c>
      <c r="C7" s="137">
        <v>385571.18</v>
      </c>
      <c r="D7" s="22">
        <f>C7+A73</f>
        <v>2385571.1800000002</v>
      </c>
      <c r="F7" s="71">
        <f>$A$73</f>
        <v>2000000</v>
      </c>
    </row>
    <row r="8" spans="1:7" ht="15.75">
      <c r="A8" s="19" t="s">
        <v>84</v>
      </c>
      <c r="B8" s="20"/>
      <c r="C8" s="21"/>
      <c r="D8" s="22"/>
      <c r="F8" s="71"/>
    </row>
    <row r="9" spans="1:7" ht="15.75">
      <c r="A9" s="19">
        <f>A7-F7</f>
        <v>29999836</v>
      </c>
      <c r="B9" s="20">
        <v>5.5E-2</v>
      </c>
      <c r="C9" s="21">
        <f>(A9*B9)/365*90</f>
        <v>406847.09095890413</v>
      </c>
      <c r="D9" s="22">
        <f>C9+A73</f>
        <v>2406847.090958904</v>
      </c>
      <c r="F9" s="71">
        <f>$A$73</f>
        <v>2000000</v>
      </c>
    </row>
    <row r="10" spans="1:7" ht="15.75">
      <c r="A10" s="19" t="s">
        <v>85</v>
      </c>
      <c r="B10" s="20"/>
      <c r="C10" s="21"/>
      <c r="D10" s="22"/>
      <c r="F10" s="71"/>
    </row>
    <row r="11" spans="1:7" ht="15.75">
      <c r="A11" s="19">
        <f>A9-$A$73</f>
        <v>27999836</v>
      </c>
      <c r="B11" s="20">
        <v>5.5E-2</v>
      </c>
      <c r="C11" s="21">
        <f>(A11*B11)/365*90</f>
        <v>379723.80328767124</v>
      </c>
      <c r="D11" s="22">
        <f>C11+A73</f>
        <v>2379723.8032876714</v>
      </c>
      <c r="F11" s="71">
        <f>$A$73</f>
        <v>2000000</v>
      </c>
    </row>
    <row r="12" spans="1:7" ht="15.75">
      <c r="A12" s="19" t="s">
        <v>86</v>
      </c>
      <c r="B12" s="20"/>
      <c r="C12" s="21"/>
      <c r="D12" s="22"/>
      <c r="F12" s="71"/>
    </row>
    <row r="13" spans="1:7" ht="16.5" thickBot="1">
      <c r="A13" s="19">
        <f>A11-$A$73</f>
        <v>25999836</v>
      </c>
      <c r="B13" s="20">
        <v>5.5E-2</v>
      </c>
      <c r="C13" s="23">
        <f>(A13*B13)/365*90</f>
        <v>352600.51561643835</v>
      </c>
      <c r="D13" s="22">
        <f>C13+A73</f>
        <v>2352600.5156164384</v>
      </c>
      <c r="F13" s="71">
        <f>$A$73</f>
        <v>2000000</v>
      </c>
    </row>
    <row r="14" spans="1:7" ht="15.75">
      <c r="A14" s="24"/>
      <c r="B14" s="25" t="s">
        <v>23</v>
      </c>
      <c r="C14" s="26">
        <f>SUM(C7:C13)</f>
        <v>1524742.5898630137</v>
      </c>
      <c r="D14" s="27"/>
      <c r="F14" s="72"/>
    </row>
    <row r="15" spans="1:7" ht="15.75">
      <c r="A15" s="28"/>
      <c r="B15" s="29"/>
      <c r="C15" s="30"/>
      <c r="D15" s="31"/>
      <c r="F15" s="73"/>
    </row>
    <row r="16" spans="1:7" ht="33.75" thickBot="1">
      <c r="A16" s="32"/>
      <c r="B16" s="33"/>
      <c r="C16" s="34" t="s">
        <v>82</v>
      </c>
      <c r="D16" s="35">
        <f>SUM(D7:D13)+C15</f>
        <v>9524742.5898630135</v>
      </c>
      <c r="F16" s="74">
        <f>SUM(F7:F13)+E15</f>
        <v>8000000</v>
      </c>
    </row>
    <row r="17" spans="1:6" ht="15" thickBot="1">
      <c r="A17" s="36"/>
      <c r="B17" s="36"/>
      <c r="C17" s="36"/>
      <c r="D17" s="36"/>
      <c r="F17" s="77"/>
    </row>
    <row r="18" spans="1:6" ht="39" hidden="1" thickBot="1">
      <c r="A18" s="12" t="s">
        <v>15</v>
      </c>
      <c r="B18" s="13" t="s">
        <v>16</v>
      </c>
      <c r="C18" s="13" t="s">
        <v>17</v>
      </c>
      <c r="D18" s="14" t="s">
        <v>18</v>
      </c>
      <c r="F18" s="69" t="s">
        <v>18</v>
      </c>
    </row>
    <row r="19" spans="1:6" ht="16.5" hidden="1" thickBot="1">
      <c r="A19" s="15"/>
      <c r="B19" s="16"/>
      <c r="C19" s="17"/>
      <c r="D19" s="18"/>
      <c r="F19" s="70"/>
    </row>
    <row r="20" spans="1:6" ht="16.5" hidden="1" thickBot="1">
      <c r="A20" s="19"/>
      <c r="B20" s="20"/>
      <c r="C20" s="21"/>
      <c r="D20" s="22"/>
      <c r="F20" s="71"/>
    </row>
    <row r="21" spans="1:6" ht="16.5" hidden="1" thickBot="1">
      <c r="A21" s="19"/>
      <c r="B21" s="20"/>
      <c r="C21" s="21"/>
      <c r="D21" s="22"/>
      <c r="F21" s="71"/>
    </row>
    <row r="22" spans="1:6" ht="16.5" hidden="1" thickBot="1">
      <c r="A22" s="19"/>
      <c r="B22" s="20"/>
      <c r="C22" s="21"/>
      <c r="D22" s="22"/>
      <c r="F22" s="71"/>
    </row>
    <row r="23" spans="1:6" ht="16.5" hidden="1" thickBot="1">
      <c r="A23" s="19"/>
      <c r="B23" s="20"/>
      <c r="C23" s="21"/>
      <c r="D23" s="22"/>
      <c r="F23" s="71"/>
    </row>
    <row r="24" spans="1:6" ht="16.5" hidden="1" thickBot="1">
      <c r="A24" s="19"/>
      <c r="B24" s="20"/>
      <c r="C24" s="21"/>
      <c r="D24" s="22"/>
      <c r="F24" s="71"/>
    </row>
    <row r="25" spans="1:6" ht="16.5" hidden="1" thickBot="1">
      <c r="A25" s="19"/>
      <c r="B25" s="20"/>
      <c r="C25" s="21"/>
      <c r="D25" s="22"/>
      <c r="F25" s="71"/>
    </row>
    <row r="26" spans="1:6" ht="16.5" hidden="1" thickBot="1">
      <c r="A26" s="19"/>
      <c r="B26" s="20"/>
      <c r="C26" s="23"/>
      <c r="D26" s="22"/>
      <c r="F26" s="71"/>
    </row>
    <row r="27" spans="1:6" ht="16.5" hidden="1" thickBot="1">
      <c r="A27" s="24"/>
      <c r="B27" s="25"/>
      <c r="C27" s="26"/>
      <c r="D27" s="27"/>
      <c r="F27" s="72"/>
    </row>
    <row r="28" spans="1:6" ht="17.25" hidden="1" thickBot="1">
      <c r="A28" s="32"/>
      <c r="B28" s="33"/>
      <c r="C28" s="34"/>
      <c r="D28" s="35"/>
      <c r="F28" s="74"/>
    </row>
    <row r="29" spans="1:6" ht="15" hidden="1" thickBot="1">
      <c r="A29" s="36"/>
      <c r="B29" s="37"/>
      <c r="C29" s="38"/>
      <c r="D29" s="36"/>
      <c r="F29" s="75"/>
    </row>
    <row r="30" spans="1:6" ht="39" thickBot="1">
      <c r="A30" s="12" t="s">
        <v>15</v>
      </c>
      <c r="B30" s="13" t="s">
        <v>16</v>
      </c>
      <c r="C30" s="13" t="s">
        <v>17</v>
      </c>
      <c r="D30" s="14" t="s">
        <v>18</v>
      </c>
      <c r="F30" s="69" t="s">
        <v>81</v>
      </c>
    </row>
    <row r="31" spans="1:6" ht="15.75">
      <c r="A31" s="15" t="s">
        <v>26</v>
      </c>
      <c r="B31" s="16"/>
      <c r="C31" s="17"/>
      <c r="D31" s="18"/>
      <c r="F31" s="70"/>
    </row>
    <row r="32" spans="1:6" ht="15.75">
      <c r="A32" s="19">
        <f>A13-A73</f>
        <v>23999836</v>
      </c>
      <c r="B32" s="20">
        <v>6.2E-2</v>
      </c>
      <c r="C32" s="21">
        <f>(A32*B32)/365*90</f>
        <v>366901.60241095891</v>
      </c>
      <c r="D32" s="22">
        <f>C32+667000</f>
        <v>1033901.6024109588</v>
      </c>
      <c r="F32" s="71">
        <v>2000000</v>
      </c>
    </row>
    <row r="33" spans="1:6" ht="15.75">
      <c r="A33" s="19" t="s">
        <v>27</v>
      </c>
      <c r="B33" s="20"/>
      <c r="C33" s="21"/>
      <c r="D33" s="22"/>
      <c r="F33" s="71"/>
    </row>
    <row r="34" spans="1:6" ht="15.75">
      <c r="A34" s="19">
        <f>A32-A73</f>
        <v>21999836</v>
      </c>
      <c r="B34" s="20">
        <v>6.2E-2</v>
      </c>
      <c r="C34" s="21">
        <f>(A34*B34)/365*90</f>
        <v>336326.25994520547</v>
      </c>
      <c r="D34" s="22">
        <f>C34+A73</f>
        <v>2336326.2599452054</v>
      </c>
      <c r="F34" s="71">
        <f>$A$73</f>
        <v>2000000</v>
      </c>
    </row>
    <row r="35" spans="1:6" ht="15.75">
      <c r="A35" s="19" t="s">
        <v>28</v>
      </c>
      <c r="B35" s="20"/>
      <c r="C35" s="21"/>
      <c r="D35" s="22"/>
      <c r="F35" s="71"/>
    </row>
    <row r="36" spans="1:6" ht="15.75">
      <c r="A36" s="19">
        <f>A34-A73</f>
        <v>19999836</v>
      </c>
      <c r="B36" s="20">
        <v>6.2E-2</v>
      </c>
      <c r="C36" s="21">
        <f>(A36*B36)/365*90</f>
        <v>305750.91747945204</v>
      </c>
      <c r="D36" s="22">
        <f>C36+A73</f>
        <v>2305750.9174794522</v>
      </c>
      <c r="F36" s="71">
        <f>$A$73</f>
        <v>2000000</v>
      </c>
    </row>
    <row r="37" spans="1:6" ht="15.75">
      <c r="A37" s="19" t="s">
        <v>29</v>
      </c>
      <c r="B37" s="20"/>
      <c r="C37" s="21"/>
      <c r="D37" s="22"/>
      <c r="F37" s="71"/>
    </row>
    <row r="38" spans="1:6" ht="16.5" thickBot="1">
      <c r="A38" s="19">
        <f>A36-A73</f>
        <v>17999836</v>
      </c>
      <c r="B38" s="20">
        <v>6.4000000000000001E-2</v>
      </c>
      <c r="C38" s="23">
        <f>(A38*B38)/365*90</f>
        <v>284052.20646575344</v>
      </c>
      <c r="D38" s="22">
        <f>C38+A73</f>
        <v>2284052.2064657533</v>
      </c>
      <c r="F38" s="71">
        <f>$A$73</f>
        <v>2000000</v>
      </c>
    </row>
    <row r="39" spans="1:6" ht="15.75">
      <c r="A39" s="24"/>
      <c r="B39" s="25" t="s">
        <v>23</v>
      </c>
      <c r="C39" s="26">
        <f>SUM(C32:C38)</f>
        <v>1293030.98630137</v>
      </c>
      <c r="D39" s="27"/>
      <c r="F39" s="72"/>
    </row>
    <row r="40" spans="1:6" ht="33.75" thickBot="1">
      <c r="A40" s="32"/>
      <c r="B40" s="33"/>
      <c r="C40" s="34" t="s">
        <v>30</v>
      </c>
      <c r="D40" s="35">
        <f>SUM(D32:D38)</f>
        <v>7960030.98630137</v>
      </c>
      <c r="F40" s="74">
        <f>SUM(F32:F38)</f>
        <v>8000000</v>
      </c>
    </row>
    <row r="41" spans="1:6" ht="15" thickBot="1">
      <c r="A41" s="36"/>
      <c r="B41" s="37"/>
      <c r="C41" s="38"/>
      <c r="D41" s="36"/>
      <c r="F41" s="77"/>
    </row>
    <row r="42" spans="1:6" ht="39" thickBot="1">
      <c r="A42" s="12" t="s">
        <v>15</v>
      </c>
      <c r="B42" s="13" t="s">
        <v>16</v>
      </c>
      <c r="C42" s="13" t="s">
        <v>17</v>
      </c>
      <c r="D42" s="14" t="s">
        <v>18</v>
      </c>
      <c r="F42" s="69" t="s">
        <v>81</v>
      </c>
    </row>
    <row r="43" spans="1:6" ht="15.75">
      <c r="A43" s="15" t="s">
        <v>31</v>
      </c>
      <c r="B43" s="16"/>
      <c r="C43" s="17"/>
      <c r="D43" s="18"/>
      <c r="F43" s="70"/>
    </row>
    <row r="44" spans="1:6" ht="15.75">
      <c r="A44" s="19">
        <f>A38-A73</f>
        <v>15999836</v>
      </c>
      <c r="B44" s="20">
        <v>0.06</v>
      </c>
      <c r="C44" s="21">
        <f>(A44*B44)/365*90</f>
        <v>236709.9024657534</v>
      </c>
      <c r="D44" s="22">
        <f>C44+A73</f>
        <v>2236709.9024657533</v>
      </c>
      <c r="F44" s="71">
        <f>$A$73</f>
        <v>2000000</v>
      </c>
    </row>
    <row r="45" spans="1:6" ht="15.75">
      <c r="A45" s="19" t="s">
        <v>32</v>
      </c>
      <c r="B45" s="20"/>
      <c r="C45" s="21"/>
      <c r="D45" s="22"/>
      <c r="F45" s="71"/>
    </row>
    <row r="46" spans="1:6" ht="15.75">
      <c r="A46" s="19">
        <f>A44-A73</f>
        <v>13999836</v>
      </c>
      <c r="B46" s="20">
        <v>0.06</v>
      </c>
      <c r="C46" s="21">
        <f>(A46*B46)/365*90</f>
        <v>207120.86136986298</v>
      </c>
      <c r="D46" s="22">
        <f>C46+A73</f>
        <v>2207120.8613698632</v>
      </c>
      <c r="F46" s="71">
        <f>$A$73</f>
        <v>2000000</v>
      </c>
    </row>
    <row r="47" spans="1:6" ht="15.75">
      <c r="A47" s="19" t="s">
        <v>33</v>
      </c>
      <c r="B47" s="20"/>
      <c r="C47" s="21"/>
      <c r="D47" s="22"/>
      <c r="F47" s="71"/>
    </row>
    <row r="48" spans="1:6" ht="15.75">
      <c r="A48" s="19">
        <f>A46-A73</f>
        <v>11999836</v>
      </c>
      <c r="B48" s="20">
        <v>5.5E-2</v>
      </c>
      <c r="C48" s="21">
        <f>(A48*B48)/365*90</f>
        <v>162737.5019178082</v>
      </c>
      <c r="D48" s="22">
        <f>C48+A73</f>
        <v>2162737.5019178083</v>
      </c>
      <c r="F48" s="71">
        <f>$A$73</f>
        <v>2000000</v>
      </c>
    </row>
    <row r="49" spans="1:6" ht="15.75">
      <c r="A49" s="19" t="s">
        <v>34</v>
      </c>
      <c r="B49" s="20"/>
      <c r="C49" s="21"/>
      <c r="D49" s="22"/>
      <c r="F49" s="71"/>
    </row>
    <row r="50" spans="1:6" ht="16.5" thickBot="1">
      <c r="A50" s="19">
        <f>A48-A73</f>
        <v>9999836</v>
      </c>
      <c r="B50" s="20">
        <v>5.5E-2</v>
      </c>
      <c r="C50" s="23">
        <f>(A50*B50)/365*90</f>
        <v>135614.21424657534</v>
      </c>
      <c r="D50" s="22">
        <f>C50+A73</f>
        <v>2135614.2142465753</v>
      </c>
      <c r="F50" s="71">
        <f>$A$73</f>
        <v>2000000</v>
      </c>
    </row>
    <row r="51" spans="1:6" ht="15.75">
      <c r="A51" s="24"/>
      <c r="B51" s="25" t="s">
        <v>23</v>
      </c>
      <c r="C51" s="26">
        <f>SUM(C44:C50)</f>
        <v>742182.48</v>
      </c>
      <c r="D51" s="27"/>
      <c r="F51" s="72"/>
    </row>
    <row r="52" spans="1:6" ht="33.75" thickBot="1">
      <c r="A52" s="39"/>
      <c r="B52" s="40"/>
      <c r="C52" s="41" t="s">
        <v>35</v>
      </c>
      <c r="D52" s="42">
        <f>SUM(D44:D50)</f>
        <v>8742182.4800000004</v>
      </c>
      <c r="F52" s="76">
        <f>SUM(F44:F50)</f>
        <v>8000000</v>
      </c>
    </row>
    <row r="53" spans="1:6" ht="17.25" thickBot="1">
      <c r="A53" s="43"/>
      <c r="B53" s="44"/>
      <c r="C53" s="45"/>
      <c r="D53" s="46"/>
      <c r="F53" s="46"/>
    </row>
    <row r="54" spans="1:6" ht="39" thickBot="1">
      <c r="A54" s="47" t="s">
        <v>15</v>
      </c>
      <c r="B54" s="48" t="s">
        <v>16</v>
      </c>
      <c r="C54" s="48" t="s">
        <v>17</v>
      </c>
      <c r="D54" s="49" t="s">
        <v>18</v>
      </c>
      <c r="F54" s="69" t="s">
        <v>81</v>
      </c>
    </row>
    <row r="55" spans="1:6" ht="15.75">
      <c r="A55" s="15" t="s">
        <v>36</v>
      </c>
      <c r="B55" s="16"/>
      <c r="C55" s="17"/>
      <c r="D55" s="18"/>
      <c r="F55" s="70"/>
    </row>
    <row r="56" spans="1:6" ht="15.75">
      <c r="A56" s="19">
        <f>A50-A73</f>
        <v>7999836</v>
      </c>
      <c r="B56" s="20">
        <v>0.06</v>
      </c>
      <c r="C56" s="21">
        <f>(A56*B56)/365*90</f>
        <v>118353.73808219178</v>
      </c>
      <c r="D56" s="22">
        <f>C56+A73</f>
        <v>2118353.7380821919</v>
      </c>
      <c r="F56" s="71">
        <f>$A$73</f>
        <v>2000000</v>
      </c>
    </row>
    <row r="57" spans="1:6" ht="15.75">
      <c r="A57" s="19" t="s">
        <v>37</v>
      </c>
      <c r="B57" s="20"/>
      <c r="C57" s="21"/>
      <c r="D57" s="22"/>
      <c r="F57" s="71"/>
    </row>
    <row r="58" spans="1:6" ht="15.75">
      <c r="A58" s="19">
        <f>A56-A73</f>
        <v>5999836</v>
      </c>
      <c r="B58" s="20">
        <v>0.06</v>
      </c>
      <c r="C58" s="21">
        <f>(A58*B58)/365*90</f>
        <v>88764.696986301366</v>
      </c>
      <c r="D58" s="22">
        <f>C58+A73</f>
        <v>2088764.6969863013</v>
      </c>
      <c r="F58" s="71">
        <f>$A$73</f>
        <v>2000000</v>
      </c>
    </row>
    <row r="59" spans="1:6" ht="15.75">
      <c r="A59" s="19" t="s">
        <v>38</v>
      </c>
      <c r="B59" s="20"/>
      <c r="C59" s="21"/>
      <c r="D59" s="22"/>
      <c r="F59" s="71"/>
    </row>
    <row r="60" spans="1:6" ht="15.75">
      <c r="A60" s="19">
        <f>A58-A73</f>
        <v>3999836</v>
      </c>
      <c r="B60" s="20">
        <v>0.06</v>
      </c>
      <c r="C60" s="21">
        <f>(A60*B60)/365*90</f>
        <v>59175.655890410962</v>
      </c>
      <c r="D60" s="22">
        <f>C60+A73</f>
        <v>2059175.655890411</v>
      </c>
      <c r="F60" s="71">
        <f>$A$73</f>
        <v>2000000</v>
      </c>
    </row>
    <row r="61" spans="1:6" ht="15.75">
      <c r="A61" s="19" t="s">
        <v>39</v>
      </c>
      <c r="B61" s="20"/>
      <c r="C61" s="21"/>
      <c r="D61" s="22"/>
      <c r="F61" s="71"/>
    </row>
    <row r="62" spans="1:6" ht="16.5" thickBot="1">
      <c r="A62" s="19">
        <f>A60-A73</f>
        <v>1999836</v>
      </c>
      <c r="B62" s="20">
        <v>0.06</v>
      </c>
      <c r="C62" s="23">
        <f>(A62*B62)/365*90</f>
        <v>29586.614794520545</v>
      </c>
      <c r="D62" s="22">
        <f>C62+A73</f>
        <v>2029586.6147945207</v>
      </c>
      <c r="F62" s="71">
        <v>1999836</v>
      </c>
    </row>
    <row r="63" spans="1:6" ht="15.75">
      <c r="A63" s="24"/>
      <c r="B63" s="25" t="s">
        <v>23</v>
      </c>
      <c r="C63" s="26">
        <f>SUM(C56:C62)</f>
        <v>295880.70575342461</v>
      </c>
      <c r="D63" s="27"/>
      <c r="F63" s="72"/>
    </row>
    <row r="64" spans="1:6" ht="33.75" thickBot="1">
      <c r="A64" s="32"/>
      <c r="B64" s="33"/>
      <c r="C64" s="34" t="s">
        <v>40</v>
      </c>
      <c r="D64" s="35">
        <f>SUM(D56:D62)</f>
        <v>8295880.7057534251</v>
      </c>
      <c r="F64" s="74">
        <f>SUM(F56:F62)</f>
        <v>7999836</v>
      </c>
    </row>
    <row r="65" spans="1:6" ht="16.5">
      <c r="A65" s="50"/>
      <c r="B65" s="51"/>
      <c r="C65" s="52"/>
      <c r="D65" s="53"/>
      <c r="F65" s="79"/>
    </row>
    <row r="66" spans="1:6" ht="16.5">
      <c r="A66" s="50"/>
      <c r="B66" s="51"/>
      <c r="C66" s="52"/>
      <c r="D66" s="53"/>
      <c r="F66" s="1"/>
    </row>
    <row r="67" spans="1:6" ht="18">
      <c r="A67" s="404" t="s">
        <v>71</v>
      </c>
      <c r="B67" s="404"/>
      <c r="C67" s="404"/>
      <c r="D67" s="57">
        <f>SUM(D69:D71)</f>
        <v>35855672.761917807</v>
      </c>
      <c r="F67" s="78">
        <f>SUM(F16,F40,F52,F64)</f>
        <v>31999836</v>
      </c>
    </row>
    <row r="68" spans="1:6" ht="16.5">
      <c r="A68" s="405" t="s">
        <v>72</v>
      </c>
      <c r="B68" s="405"/>
      <c r="C68" s="405"/>
      <c r="D68" s="58"/>
    </row>
    <row r="69" spans="1:6">
      <c r="A69" s="401" t="s">
        <v>73</v>
      </c>
      <c r="B69" s="401"/>
      <c r="C69" s="401"/>
      <c r="D69" s="59">
        <f>A73*15+1999836</f>
        <v>31999836</v>
      </c>
    </row>
    <row r="70" spans="1:6">
      <c r="A70" s="401" t="s">
        <v>74</v>
      </c>
      <c r="B70" s="401"/>
      <c r="C70" s="401"/>
      <c r="D70" s="59">
        <f>SUM(C14,C27,C39,C51,C63)</f>
        <v>3855836.7619178081</v>
      </c>
    </row>
    <row r="71" spans="1:6">
      <c r="A71" s="401"/>
      <c r="B71" s="401"/>
      <c r="C71" s="401"/>
      <c r="D71" s="59"/>
    </row>
    <row r="72" spans="1:6">
      <c r="A72" s="60" t="s">
        <v>76</v>
      </c>
      <c r="B72" s="61"/>
    </row>
    <row r="73" spans="1:6" ht="15.75">
      <c r="A73" s="62">
        <v>2000000</v>
      </c>
      <c r="B73" s="63"/>
    </row>
    <row r="74" spans="1:6">
      <c r="D74" s="63"/>
    </row>
    <row r="76" spans="1:6" ht="15.75">
      <c r="B76" s="64"/>
    </row>
    <row r="77" spans="1:6">
      <c r="A77" s="61"/>
      <c r="B77" s="65"/>
    </row>
    <row r="78" spans="1:6">
      <c r="A78" s="61"/>
    </row>
    <row r="79" spans="1:6">
      <c r="B79" s="66"/>
    </row>
  </sheetData>
  <mergeCells count="7">
    <mergeCell ref="A71:C71"/>
    <mergeCell ref="A2:F2"/>
    <mergeCell ref="A3:D3"/>
    <mergeCell ref="A67:C67"/>
    <mergeCell ref="A68:C68"/>
    <mergeCell ref="A69:C69"/>
    <mergeCell ref="A70:C70"/>
  </mergeCells>
  <pageMargins left="0.22" right="0.22" top="0.31" bottom="0.42" header="0.17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45"/>
  <sheetViews>
    <sheetView workbookViewId="0">
      <selection activeCell="L22" sqref="L22"/>
    </sheetView>
  </sheetViews>
  <sheetFormatPr defaultRowHeight="14.25"/>
  <cols>
    <col min="1" max="1" width="19.5" customWidth="1"/>
    <col min="2" max="2" width="14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02" t="s">
        <v>159</v>
      </c>
      <c r="B2" s="402"/>
      <c r="C2" s="402"/>
      <c r="D2" s="402"/>
      <c r="E2" s="402"/>
      <c r="F2" s="402"/>
    </row>
    <row r="3" spans="1:6">
      <c r="A3" s="403" t="s">
        <v>88</v>
      </c>
      <c r="B3" s="403"/>
      <c r="C3" s="403"/>
      <c r="D3" s="403"/>
      <c r="F3" s="67" t="s">
        <v>80</v>
      </c>
    </row>
    <row r="4" spans="1:6" ht="15" thickBot="1">
      <c r="D4" s="11" t="s">
        <v>14</v>
      </c>
    </row>
    <row r="5" spans="1:6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6" ht="15.75">
      <c r="A6" s="15" t="s">
        <v>19</v>
      </c>
      <c r="B6" s="16"/>
      <c r="C6" s="17"/>
      <c r="D6" s="18"/>
      <c r="F6" s="70"/>
    </row>
    <row r="7" spans="1:6" ht="15.75">
      <c r="A7" s="19"/>
      <c r="B7" s="20">
        <v>0</v>
      </c>
      <c r="C7" s="21">
        <f>(A7*B7)/365*90</f>
        <v>0</v>
      </c>
      <c r="D7" s="22">
        <v>0</v>
      </c>
      <c r="F7" s="71">
        <v>0</v>
      </c>
    </row>
    <row r="8" spans="1:6" ht="15.75">
      <c r="A8" s="19" t="s">
        <v>20</v>
      </c>
      <c r="B8" s="20"/>
      <c r="C8" s="21"/>
      <c r="D8" s="22"/>
      <c r="F8" s="71"/>
    </row>
    <row r="9" spans="1:6" ht="15.75">
      <c r="A9" s="19"/>
      <c r="B9" s="20">
        <v>0</v>
      </c>
      <c r="C9" s="21">
        <f>(A9*B9)/365*90</f>
        <v>0</v>
      </c>
      <c r="D9" s="22">
        <v>0</v>
      </c>
      <c r="F9" s="71">
        <v>0</v>
      </c>
    </row>
    <row r="10" spans="1:6" ht="15.75">
      <c r="A10" s="19" t="s">
        <v>21</v>
      </c>
      <c r="B10" s="20"/>
      <c r="C10" s="21"/>
      <c r="D10" s="22"/>
      <c r="F10" s="71"/>
    </row>
    <row r="11" spans="1:6" ht="15.75">
      <c r="A11" s="19"/>
      <c r="B11" s="20">
        <v>0</v>
      </c>
      <c r="C11" s="21">
        <f>(A11*B11)/365*90</f>
        <v>0</v>
      </c>
      <c r="D11" s="22">
        <v>0</v>
      </c>
      <c r="F11" s="71">
        <v>0</v>
      </c>
    </row>
    <row r="12" spans="1:6" ht="15.75">
      <c r="A12" s="19" t="s">
        <v>22</v>
      </c>
      <c r="B12" s="20"/>
      <c r="C12" s="21"/>
      <c r="D12" s="22"/>
      <c r="F12" s="71"/>
    </row>
    <row r="13" spans="1:6" ht="16.5" thickBot="1">
      <c r="A13" s="19">
        <f>'Zestawienie kredytów'!F12</f>
        <v>88067020.150000006</v>
      </c>
      <c r="B13" s="20">
        <v>0</v>
      </c>
      <c r="C13" s="23">
        <f>(A13*B13)/365*90</f>
        <v>0</v>
      </c>
      <c r="D13" s="22">
        <f>C13</f>
        <v>0</v>
      </c>
      <c r="F13" s="71">
        <v>0</v>
      </c>
    </row>
    <row r="14" spans="1:6" ht="15.75">
      <c r="A14" s="24"/>
      <c r="B14" s="25" t="s">
        <v>23</v>
      </c>
      <c r="C14" s="26">
        <f>SUM(C7:C13)</f>
        <v>0</v>
      </c>
      <c r="D14" s="27"/>
      <c r="F14" s="72"/>
    </row>
    <row r="15" spans="1:6" ht="15.75">
      <c r="A15" s="28"/>
      <c r="B15" s="83" t="s">
        <v>24</v>
      </c>
      <c r="C15" s="30">
        <f>0.09%*A13</f>
        <v>79260.318135000009</v>
      </c>
      <c r="D15" s="31"/>
      <c r="F15" s="73"/>
    </row>
    <row r="16" spans="1:6" ht="33.75" thickBot="1">
      <c r="A16" s="32"/>
      <c r="B16" s="33"/>
      <c r="C16" s="34" t="s">
        <v>25</v>
      </c>
      <c r="D16" s="35">
        <f>SUM(D7:D13)+C15</f>
        <v>79260.318135000009</v>
      </c>
      <c r="F16" s="74">
        <f>SUM(F7:F13)+E15</f>
        <v>0</v>
      </c>
    </row>
    <row r="17" spans="1:6" ht="15" thickBot="1">
      <c r="A17" s="36"/>
      <c r="B17" s="36"/>
      <c r="C17" s="36"/>
      <c r="D17" s="36"/>
      <c r="F17" s="77"/>
    </row>
    <row r="18" spans="1:6" ht="39" thickBot="1">
      <c r="A18" s="12" t="s">
        <v>15</v>
      </c>
      <c r="B18" s="13" t="s">
        <v>16</v>
      </c>
      <c r="C18" s="13" t="s">
        <v>17</v>
      </c>
      <c r="D18" s="14" t="s">
        <v>18</v>
      </c>
      <c r="F18" s="69" t="s">
        <v>18</v>
      </c>
    </row>
    <row r="19" spans="1:6" ht="15.75">
      <c r="A19" s="15" t="s">
        <v>83</v>
      </c>
      <c r="B19" s="16"/>
      <c r="C19" s="17"/>
      <c r="D19" s="18"/>
      <c r="F19" s="70"/>
    </row>
    <row r="20" spans="1:6" ht="15.75">
      <c r="A20" s="19">
        <f>A13</f>
        <v>88067020.150000006</v>
      </c>
      <c r="B20" s="20">
        <v>5.5E-2</v>
      </c>
      <c r="C20" s="137">
        <v>1010675.6</v>
      </c>
      <c r="D20" s="22">
        <f>C20+A144</f>
        <v>3212351.6</v>
      </c>
      <c r="F20" s="71">
        <f>$A$144</f>
        <v>2201676</v>
      </c>
    </row>
    <row r="21" spans="1:6" ht="15.75">
      <c r="A21" s="19" t="s">
        <v>84</v>
      </c>
      <c r="B21" s="20"/>
      <c r="C21" s="21"/>
      <c r="D21" s="22"/>
      <c r="F21" s="71"/>
    </row>
    <row r="22" spans="1:6" ht="15.75">
      <c r="A22" s="19">
        <f>A20-F20</f>
        <v>85865344.150000006</v>
      </c>
      <c r="B22" s="20">
        <v>5.5E-2</v>
      </c>
      <c r="C22" s="21">
        <f>(A22*B22)/365*90</f>
        <v>1164475.2151849316</v>
      </c>
      <c r="D22" s="22">
        <f>C22+A144</f>
        <v>3366151.2151849316</v>
      </c>
      <c r="F22" s="71">
        <f>$A$144</f>
        <v>2201676</v>
      </c>
    </row>
    <row r="23" spans="1:6" ht="15.75">
      <c r="A23" s="19" t="s">
        <v>85</v>
      </c>
      <c r="B23" s="20"/>
      <c r="C23" s="21"/>
      <c r="D23" s="22"/>
      <c r="F23" s="71"/>
    </row>
    <row r="24" spans="1:6" ht="15.75">
      <c r="A24" s="19">
        <f>A22-A144</f>
        <v>83663668.150000006</v>
      </c>
      <c r="B24" s="20">
        <v>5.5E-2</v>
      </c>
      <c r="C24" s="21">
        <f>(A24*B24)/365*90</f>
        <v>1134616.8694315071</v>
      </c>
      <c r="D24" s="22">
        <f>C24+A144</f>
        <v>3336292.8694315068</v>
      </c>
      <c r="F24" s="71">
        <f>$A$144</f>
        <v>2201676</v>
      </c>
    </row>
    <row r="25" spans="1:6" ht="15.75">
      <c r="A25" s="19" t="s">
        <v>86</v>
      </c>
      <c r="B25" s="20"/>
      <c r="C25" s="21"/>
      <c r="D25" s="22"/>
      <c r="F25" s="71"/>
    </row>
    <row r="26" spans="1:6" ht="16.5" thickBot="1">
      <c r="A26" s="19">
        <f>A24-A144</f>
        <v>81461992.150000006</v>
      </c>
      <c r="B26" s="20">
        <v>0.06</v>
      </c>
      <c r="C26" s="23">
        <f>(A26*B26)/365*90</f>
        <v>1205191.1167397259</v>
      </c>
      <c r="D26" s="22">
        <f>C26+A144</f>
        <v>3406867.1167397257</v>
      </c>
      <c r="F26" s="71">
        <f>$A$144</f>
        <v>2201676</v>
      </c>
    </row>
    <row r="27" spans="1:6" ht="15.75">
      <c r="A27" s="24"/>
      <c r="B27" s="25" t="s">
        <v>23</v>
      </c>
      <c r="C27" s="26">
        <f>SUM(C20:C26)</f>
        <v>4514958.8013561647</v>
      </c>
      <c r="D27" s="27"/>
      <c r="F27" s="72"/>
    </row>
    <row r="28" spans="1:6" ht="33.75" thickBot="1">
      <c r="A28" s="32"/>
      <c r="B28" s="33"/>
      <c r="C28" s="34" t="s">
        <v>82</v>
      </c>
      <c r="D28" s="35">
        <f>SUM(D20:D26)</f>
        <v>13321662.801356165</v>
      </c>
      <c r="F28" s="74">
        <f>SUM(F20:F26)</f>
        <v>8806704</v>
      </c>
    </row>
    <row r="29" spans="1:6" ht="15" thickBot="1">
      <c r="A29" s="36"/>
      <c r="B29" s="37"/>
      <c r="C29" s="38"/>
      <c r="D29" s="36"/>
      <c r="F29" s="75"/>
    </row>
    <row r="30" spans="1:6" ht="39" thickBot="1">
      <c r="A30" s="12" t="s">
        <v>15</v>
      </c>
      <c r="B30" s="13" t="s">
        <v>16</v>
      </c>
      <c r="C30" s="13" t="s">
        <v>17</v>
      </c>
      <c r="D30" s="14" t="s">
        <v>18</v>
      </c>
      <c r="F30" s="69" t="s">
        <v>81</v>
      </c>
    </row>
    <row r="31" spans="1:6" ht="15.75">
      <c r="A31" s="15" t="s">
        <v>26</v>
      </c>
      <c r="B31" s="16"/>
      <c r="C31" s="17"/>
      <c r="D31" s="18"/>
      <c r="F31" s="70"/>
    </row>
    <row r="32" spans="1:6" ht="15.75">
      <c r="A32" s="19">
        <f>A26-A144</f>
        <v>79260316.150000006</v>
      </c>
      <c r="B32" s="20">
        <v>5.7000000000000002E-2</v>
      </c>
      <c r="C32" s="21">
        <f>(A32*B32)/365*90</f>
        <v>1113987.457121918</v>
      </c>
      <c r="D32" s="22">
        <f>C32+A144</f>
        <v>3315663.457121918</v>
      </c>
      <c r="F32" s="71">
        <f>$A$144</f>
        <v>2201676</v>
      </c>
    </row>
    <row r="33" spans="1:6" ht="15.75">
      <c r="A33" s="19" t="s">
        <v>27</v>
      </c>
      <c r="B33" s="20"/>
      <c r="C33" s="21"/>
      <c r="D33" s="22"/>
      <c r="F33" s="71"/>
    </row>
    <row r="34" spans="1:6" ht="15.75">
      <c r="A34" s="19">
        <f>A32-A144</f>
        <v>77058640.150000006</v>
      </c>
      <c r="B34" s="20">
        <v>5.7000000000000002E-2</v>
      </c>
      <c r="C34" s="21">
        <f>(A34*B34)/365*90</f>
        <v>1083043.3533410961</v>
      </c>
      <c r="D34" s="22">
        <f>C34+A144</f>
        <v>3284719.3533410961</v>
      </c>
      <c r="F34" s="71">
        <f>$A$144</f>
        <v>2201676</v>
      </c>
    </row>
    <row r="35" spans="1:6" ht="15.75">
      <c r="A35" s="19" t="s">
        <v>28</v>
      </c>
      <c r="B35" s="20"/>
      <c r="C35" s="21"/>
      <c r="D35" s="22"/>
      <c r="F35" s="71"/>
    </row>
    <row r="36" spans="1:6" ht="15.75">
      <c r="A36" s="19">
        <f>A34-A144</f>
        <v>74856964.150000006</v>
      </c>
      <c r="B36" s="20">
        <v>5.7000000000000002E-2</v>
      </c>
      <c r="C36" s="21">
        <f>(A36*B36)/365*90</f>
        <v>1052099.2495602742</v>
      </c>
      <c r="D36" s="22">
        <f>C36+A144</f>
        <v>3253775.2495602742</v>
      </c>
      <c r="F36" s="71">
        <f>$A$144</f>
        <v>2201676</v>
      </c>
    </row>
    <row r="37" spans="1:6" ht="15.75">
      <c r="A37" s="19" t="s">
        <v>29</v>
      </c>
      <c r="B37" s="20"/>
      <c r="C37" s="21"/>
      <c r="D37" s="22"/>
      <c r="F37" s="71"/>
    </row>
    <row r="38" spans="1:6" ht="16.5" thickBot="1">
      <c r="A38" s="19">
        <f>A36-A144</f>
        <v>72655288.150000006</v>
      </c>
      <c r="B38" s="20">
        <v>0.06</v>
      </c>
      <c r="C38" s="23">
        <f>(A38*B38)/365*90</f>
        <v>1074900.1534520548</v>
      </c>
      <c r="D38" s="22">
        <f>C38+A144</f>
        <v>3276576.1534520546</v>
      </c>
      <c r="F38" s="71">
        <f>$A$144</f>
        <v>2201676</v>
      </c>
    </row>
    <row r="39" spans="1:6" ht="15.75">
      <c r="A39" s="24"/>
      <c r="B39" s="25" t="s">
        <v>23</v>
      </c>
      <c r="C39" s="26">
        <f>SUM(C32:C38)</f>
        <v>4324030.2134753428</v>
      </c>
      <c r="D39" s="27"/>
      <c r="F39" s="72"/>
    </row>
    <row r="40" spans="1:6" ht="33.75" thickBot="1">
      <c r="A40" s="32"/>
      <c r="B40" s="33"/>
      <c r="C40" s="34" t="s">
        <v>30</v>
      </c>
      <c r="D40" s="35">
        <f>SUM(D32:D38)</f>
        <v>13130734.213475343</v>
      </c>
      <c r="F40" s="74">
        <f>SUM(F32:F38)</f>
        <v>8806704</v>
      </c>
    </row>
    <row r="41" spans="1:6" ht="15" thickBot="1">
      <c r="A41" s="36"/>
      <c r="B41" s="37"/>
      <c r="C41" s="38"/>
      <c r="D41" s="36"/>
      <c r="F41" s="77"/>
    </row>
    <row r="42" spans="1:6" ht="39" thickBot="1">
      <c r="A42" s="12" t="s">
        <v>15</v>
      </c>
      <c r="B42" s="13" t="s">
        <v>16</v>
      </c>
      <c r="C42" s="13" t="s">
        <v>17</v>
      </c>
      <c r="D42" s="14" t="s">
        <v>18</v>
      </c>
      <c r="F42" s="69" t="s">
        <v>81</v>
      </c>
    </row>
    <row r="43" spans="1:6" ht="15.75">
      <c r="A43" s="15" t="s">
        <v>31</v>
      </c>
      <c r="B43" s="16"/>
      <c r="C43" s="17"/>
      <c r="D43" s="18"/>
      <c r="F43" s="70"/>
    </row>
    <row r="44" spans="1:6" ht="15.75">
      <c r="A44" s="19">
        <f>A38-A144</f>
        <v>70453612.150000006</v>
      </c>
      <c r="B44" s="20">
        <v>5.5E-2</v>
      </c>
      <c r="C44" s="21">
        <f>(A44*B44)/365*90</f>
        <v>955466.79491095908</v>
      </c>
      <c r="D44" s="22">
        <f>C44+A144</f>
        <v>3157142.794910959</v>
      </c>
      <c r="F44" s="71">
        <f>$A$144</f>
        <v>2201676</v>
      </c>
    </row>
    <row r="45" spans="1:6" ht="15.75">
      <c r="A45" s="19" t="s">
        <v>32</v>
      </c>
      <c r="B45" s="20"/>
      <c r="C45" s="21"/>
      <c r="D45" s="22"/>
      <c r="F45" s="71"/>
    </row>
    <row r="46" spans="1:6" ht="15.75">
      <c r="A46" s="19">
        <f>A44-A144</f>
        <v>68251936.150000006</v>
      </c>
      <c r="B46" s="20">
        <v>5.5E-2</v>
      </c>
      <c r="C46" s="21">
        <f>(A46*B46)/365*90</f>
        <v>925608.44915753428</v>
      </c>
      <c r="D46" s="22">
        <f>C46+A144</f>
        <v>3127284.4491575342</v>
      </c>
      <c r="F46" s="71">
        <f>$A$144</f>
        <v>2201676</v>
      </c>
    </row>
    <row r="47" spans="1:6" ht="15.75">
      <c r="A47" s="19" t="s">
        <v>33</v>
      </c>
      <c r="B47" s="20"/>
      <c r="C47" s="21"/>
      <c r="D47" s="22"/>
      <c r="F47" s="71"/>
    </row>
    <row r="48" spans="1:6" ht="15.75">
      <c r="A48" s="19">
        <f>A46-A144</f>
        <v>66050260.150000006</v>
      </c>
      <c r="B48" s="20">
        <v>5.5E-2</v>
      </c>
      <c r="C48" s="21">
        <f>(A48*B48)/365*90</f>
        <v>895750.10340410972</v>
      </c>
      <c r="D48" s="22">
        <f>C48+A144</f>
        <v>3097426.1034041098</v>
      </c>
      <c r="F48" s="71">
        <f>$A$144</f>
        <v>2201676</v>
      </c>
    </row>
    <row r="49" spans="1:6" ht="15.75">
      <c r="A49" s="19" t="s">
        <v>34</v>
      </c>
      <c r="B49" s="20"/>
      <c r="C49" s="21"/>
      <c r="D49" s="22"/>
      <c r="F49" s="71"/>
    </row>
    <row r="50" spans="1:6" ht="16.5" thickBot="1">
      <c r="A50" s="19">
        <f>A48-A144</f>
        <v>63848584.150000006</v>
      </c>
      <c r="B50" s="20">
        <v>5.5E-2</v>
      </c>
      <c r="C50" s="23">
        <f>(A50*B50)/365*90</f>
        <v>865891.75765068503</v>
      </c>
      <c r="D50" s="22">
        <f>C50+A144</f>
        <v>3067567.757650685</v>
      </c>
      <c r="F50" s="71">
        <f>$A$144</f>
        <v>2201676</v>
      </c>
    </row>
    <row r="51" spans="1:6" ht="15.75">
      <c r="A51" s="24"/>
      <c r="B51" s="25" t="s">
        <v>23</v>
      </c>
      <c r="C51" s="26">
        <f>SUM(C44:C50)</f>
        <v>3642717.105123288</v>
      </c>
      <c r="D51" s="27"/>
      <c r="F51" s="72"/>
    </row>
    <row r="52" spans="1:6" ht="33.75" thickBot="1">
      <c r="A52" s="39"/>
      <c r="B52" s="40"/>
      <c r="C52" s="41" t="s">
        <v>35</v>
      </c>
      <c r="D52" s="42">
        <f>SUM(D44:D50)</f>
        <v>12449421.105123287</v>
      </c>
      <c r="F52" s="76">
        <f>SUM(F44:F50)</f>
        <v>8806704</v>
      </c>
    </row>
    <row r="53" spans="1:6" ht="17.25" thickBot="1">
      <c r="A53" s="43"/>
      <c r="B53" s="44"/>
      <c r="C53" s="45"/>
      <c r="D53" s="46"/>
      <c r="F53" s="46"/>
    </row>
    <row r="54" spans="1:6" ht="39" thickBot="1">
      <c r="A54" s="47" t="s">
        <v>15</v>
      </c>
      <c r="B54" s="48" t="s">
        <v>16</v>
      </c>
      <c r="C54" s="48" t="s">
        <v>17</v>
      </c>
      <c r="D54" s="49" t="s">
        <v>18</v>
      </c>
      <c r="F54" s="69" t="s">
        <v>81</v>
      </c>
    </row>
    <row r="55" spans="1:6" ht="15.75">
      <c r="A55" s="15" t="s">
        <v>36</v>
      </c>
      <c r="B55" s="16"/>
      <c r="C55" s="17"/>
      <c r="D55" s="18"/>
      <c r="F55" s="70"/>
    </row>
    <row r="56" spans="1:6" ht="15.75">
      <c r="A56" s="19">
        <f>A50-A144</f>
        <v>61646908.150000006</v>
      </c>
      <c r="B56" s="20">
        <v>5.5E-2</v>
      </c>
      <c r="C56" s="21">
        <f>(A56*B56)/365*90</f>
        <v>836033.41189726023</v>
      </c>
      <c r="D56" s="22">
        <f>C56+A144</f>
        <v>3037709.4118972602</v>
      </c>
      <c r="F56" s="71">
        <f>$A$144</f>
        <v>2201676</v>
      </c>
    </row>
    <row r="57" spans="1:6" ht="15.75">
      <c r="A57" s="19" t="s">
        <v>37</v>
      </c>
      <c r="B57" s="20"/>
      <c r="C57" s="21"/>
      <c r="D57" s="22"/>
      <c r="F57" s="71"/>
    </row>
    <row r="58" spans="1:6" ht="15.75">
      <c r="A58" s="19">
        <f>A56-A144</f>
        <v>59445232.150000006</v>
      </c>
      <c r="B58" s="20">
        <v>5.5E-2</v>
      </c>
      <c r="C58" s="21">
        <f>(A58*B58)/365*90</f>
        <v>806175.06614383566</v>
      </c>
      <c r="D58" s="22">
        <f>C58+A144</f>
        <v>3007851.0661438359</v>
      </c>
      <c r="F58" s="71">
        <f>$A$144</f>
        <v>2201676</v>
      </c>
    </row>
    <row r="59" spans="1:6" ht="15.75">
      <c r="A59" s="19" t="s">
        <v>38</v>
      </c>
      <c r="B59" s="20"/>
      <c r="C59" s="21"/>
      <c r="D59" s="22"/>
      <c r="F59" s="71"/>
    </row>
    <row r="60" spans="1:6" ht="15.75">
      <c r="A60" s="19">
        <f>A58-A144</f>
        <v>57243556.150000006</v>
      </c>
      <c r="B60" s="20">
        <v>5.5E-2</v>
      </c>
      <c r="C60" s="21">
        <f>(A60*B60)/365*90</f>
        <v>776316.72039041109</v>
      </c>
      <c r="D60" s="22">
        <f>C60+A144</f>
        <v>2977992.7203904111</v>
      </c>
      <c r="F60" s="71">
        <f>$A$144</f>
        <v>2201676</v>
      </c>
    </row>
    <row r="61" spans="1:6" ht="15.75">
      <c r="A61" s="19" t="s">
        <v>39</v>
      </c>
      <c r="B61" s="20"/>
      <c r="C61" s="21"/>
      <c r="D61" s="22"/>
      <c r="F61" s="71"/>
    </row>
    <row r="62" spans="1:6" ht="16.5" thickBot="1">
      <c r="A62" s="19">
        <f>A60-A144</f>
        <v>55041880.150000006</v>
      </c>
      <c r="B62" s="20">
        <v>0.06</v>
      </c>
      <c r="C62" s="23">
        <f>(A62*B62)/365*90</f>
        <v>814318.2268767124</v>
      </c>
      <c r="D62" s="22">
        <f>C62+A144</f>
        <v>3015994.2268767124</v>
      </c>
      <c r="F62" s="71">
        <f>$A$144</f>
        <v>2201676</v>
      </c>
    </row>
    <row r="63" spans="1:6" ht="15.75">
      <c r="A63" s="24"/>
      <c r="B63" s="25" t="s">
        <v>23</v>
      </c>
      <c r="C63" s="26">
        <f>SUM(C56:C62)</f>
        <v>3232843.4253082192</v>
      </c>
      <c r="D63" s="27"/>
      <c r="F63" s="72"/>
    </row>
    <row r="64" spans="1:6" ht="33.75" thickBot="1">
      <c r="A64" s="32"/>
      <c r="B64" s="33"/>
      <c r="C64" s="34" t="s">
        <v>40</v>
      </c>
      <c r="D64" s="35">
        <f>SUM(D56:D62)</f>
        <v>12039547.42530822</v>
      </c>
      <c r="F64" s="74">
        <f>SUM(F56:F62)</f>
        <v>8806704</v>
      </c>
    </row>
    <row r="65" spans="1:6" ht="17.25" thickBot="1">
      <c r="A65" s="50"/>
      <c r="B65" s="51"/>
      <c r="C65" s="52"/>
      <c r="D65" s="53"/>
      <c r="F65" s="79"/>
    </row>
    <row r="66" spans="1:6" ht="39" thickBot="1">
      <c r="A66" s="54" t="s">
        <v>15</v>
      </c>
      <c r="B66" s="55" t="s">
        <v>16</v>
      </c>
      <c r="C66" s="55" t="s">
        <v>17</v>
      </c>
      <c r="D66" s="56" t="s">
        <v>18</v>
      </c>
      <c r="F66" s="69" t="s">
        <v>81</v>
      </c>
    </row>
    <row r="67" spans="1:6" ht="15.75">
      <c r="A67" s="15" t="s">
        <v>41</v>
      </c>
      <c r="B67" s="16"/>
      <c r="C67" s="17"/>
      <c r="D67" s="18"/>
      <c r="F67" s="70"/>
    </row>
    <row r="68" spans="1:6" ht="15.75">
      <c r="A68" s="19">
        <f>A62-A144</f>
        <v>52840204.150000006</v>
      </c>
      <c r="B68" s="20">
        <v>0.05</v>
      </c>
      <c r="C68" s="21">
        <f>(A68*B68)/365*90</f>
        <v>651454.57171232894</v>
      </c>
      <c r="D68" s="22">
        <f>C68+A144</f>
        <v>2853130.5717123291</v>
      </c>
      <c r="F68" s="71">
        <f>$A$144</f>
        <v>2201676</v>
      </c>
    </row>
    <row r="69" spans="1:6" ht="15.75">
      <c r="A69" s="19" t="s">
        <v>42</v>
      </c>
      <c r="B69" s="20"/>
      <c r="C69" s="21"/>
      <c r="D69" s="22"/>
      <c r="F69" s="71"/>
    </row>
    <row r="70" spans="1:6" ht="15.75">
      <c r="A70" s="19">
        <f>A68-A144</f>
        <v>50638528.150000006</v>
      </c>
      <c r="B70" s="20">
        <v>0.05</v>
      </c>
      <c r="C70" s="21">
        <f>(A70*B70)/365*90</f>
        <v>624310.62102739746</v>
      </c>
      <c r="D70" s="22">
        <f>C70+A144</f>
        <v>2825986.6210273975</v>
      </c>
      <c r="F70" s="71">
        <f>$A$144</f>
        <v>2201676</v>
      </c>
    </row>
    <row r="71" spans="1:6" ht="15.75">
      <c r="A71" s="19" t="s">
        <v>43</v>
      </c>
      <c r="B71" s="20"/>
      <c r="C71" s="21"/>
      <c r="D71" s="22"/>
      <c r="F71" s="71"/>
    </row>
    <row r="72" spans="1:6" ht="15.75">
      <c r="A72" s="19">
        <f>A70-A144</f>
        <v>48436852.150000006</v>
      </c>
      <c r="B72" s="20">
        <v>0.05</v>
      </c>
      <c r="C72" s="21">
        <f>(A72*B72)/365*90</f>
        <v>597166.67034246586</v>
      </c>
      <c r="D72" s="22">
        <f>C72+A144</f>
        <v>2798842.6703424659</v>
      </c>
      <c r="F72" s="71">
        <f>$A$144</f>
        <v>2201676</v>
      </c>
    </row>
    <row r="73" spans="1:6" ht="15.75">
      <c r="A73" s="19" t="s">
        <v>44</v>
      </c>
      <c r="B73" s="20"/>
      <c r="C73" s="21"/>
      <c r="D73" s="22"/>
      <c r="F73" s="71"/>
    </row>
    <row r="74" spans="1:6" ht="16.5" thickBot="1">
      <c r="A74" s="19">
        <f>A72-A144</f>
        <v>46235176.150000006</v>
      </c>
      <c r="B74" s="20">
        <v>0.05</v>
      </c>
      <c r="C74" s="23">
        <f>(A74*B74)/365*90</f>
        <v>570022.71965753438</v>
      </c>
      <c r="D74" s="22">
        <f>C74+A144</f>
        <v>2771698.7196575343</v>
      </c>
      <c r="F74" s="71">
        <f>$A$144</f>
        <v>2201676</v>
      </c>
    </row>
    <row r="75" spans="1:6" ht="15.75">
      <c r="A75" s="24"/>
      <c r="B75" s="25" t="s">
        <v>23</v>
      </c>
      <c r="C75" s="26">
        <f>SUM(C68:C74)</f>
        <v>2442954.5827397266</v>
      </c>
      <c r="D75" s="27"/>
      <c r="F75" s="72"/>
    </row>
    <row r="76" spans="1:6" ht="33.75" thickBot="1">
      <c r="A76" s="32"/>
      <c r="B76" s="33"/>
      <c r="C76" s="34" t="s">
        <v>45</v>
      </c>
      <c r="D76" s="35">
        <f>SUM(D68:D74)</f>
        <v>11249658.582739728</v>
      </c>
      <c r="F76" s="74">
        <f>SUM(F68:F74)</f>
        <v>8806704</v>
      </c>
    </row>
    <row r="77" spans="1:6" ht="17.25" thickBot="1">
      <c r="A77" s="50"/>
      <c r="B77" s="51"/>
      <c r="C77" s="52"/>
      <c r="D77" s="53"/>
    </row>
    <row r="78" spans="1:6" ht="39" thickBot="1">
      <c r="A78" s="54" t="s">
        <v>15</v>
      </c>
      <c r="B78" s="55" t="s">
        <v>16</v>
      </c>
      <c r="C78" s="55" t="s">
        <v>17</v>
      </c>
      <c r="D78" s="56" t="s">
        <v>18</v>
      </c>
      <c r="F78" s="69" t="s">
        <v>81</v>
      </c>
    </row>
    <row r="79" spans="1:6" ht="15.75">
      <c r="A79" s="15" t="s">
        <v>46</v>
      </c>
      <c r="B79" s="16"/>
      <c r="C79" s="17"/>
      <c r="D79" s="18"/>
      <c r="F79" s="70"/>
    </row>
    <row r="80" spans="1:6" ht="15.75">
      <c r="A80" s="19">
        <f>A74-A144</f>
        <v>44033500.150000006</v>
      </c>
      <c r="B80" s="20">
        <v>0.05</v>
      </c>
      <c r="C80" s="21">
        <f>(A80*B80)/365*90</f>
        <v>542878.76897260279</v>
      </c>
      <c r="D80" s="22">
        <f>C80+A144</f>
        <v>2744554.7689726027</v>
      </c>
      <c r="F80" s="71">
        <f>$A$144</f>
        <v>2201676</v>
      </c>
    </row>
    <row r="81" spans="1:6" ht="15.75">
      <c r="A81" s="19" t="s">
        <v>47</v>
      </c>
      <c r="B81" s="20"/>
      <c r="C81" s="21"/>
      <c r="D81" s="22"/>
      <c r="F81" s="71"/>
    </row>
    <row r="82" spans="1:6" ht="15.75">
      <c r="A82" s="19">
        <f>A80-A144</f>
        <v>41831824.150000006</v>
      </c>
      <c r="B82" s="20">
        <v>0.05</v>
      </c>
      <c r="C82" s="21">
        <f>(A82*B82)/365*90</f>
        <v>515734.81828767137</v>
      </c>
      <c r="D82" s="22">
        <f>C82+A144</f>
        <v>2717410.8182876715</v>
      </c>
      <c r="F82" s="71">
        <f>$A$144</f>
        <v>2201676</v>
      </c>
    </row>
    <row r="83" spans="1:6" ht="15.75">
      <c r="A83" s="19" t="s">
        <v>48</v>
      </c>
      <c r="B83" s="20"/>
      <c r="C83" s="21"/>
      <c r="D83" s="22"/>
      <c r="F83" s="71"/>
    </row>
    <row r="84" spans="1:6" ht="15.75">
      <c r="A84" s="19">
        <f>A82-A144</f>
        <v>39630148.150000006</v>
      </c>
      <c r="B84" s="20">
        <v>0.05</v>
      </c>
      <c r="C84" s="21">
        <f>(A84*B84)/365*90</f>
        <v>488590.86760273983</v>
      </c>
      <c r="D84" s="22">
        <f>C84+A144</f>
        <v>2690266.8676027399</v>
      </c>
      <c r="F84" s="71">
        <f>$A$144</f>
        <v>2201676</v>
      </c>
    </row>
    <row r="85" spans="1:6" ht="15.75">
      <c r="A85" s="19" t="s">
        <v>49</v>
      </c>
      <c r="B85" s="20"/>
      <c r="C85" s="21"/>
      <c r="D85" s="22"/>
      <c r="F85" s="71"/>
    </row>
    <row r="86" spans="1:6" ht="16.5" thickBot="1">
      <c r="A86" s="19">
        <f>A84-A144</f>
        <v>37428472.150000006</v>
      </c>
      <c r="B86" s="20">
        <v>0.05</v>
      </c>
      <c r="C86" s="23">
        <f>(A86*B86)/365*90</f>
        <v>461446.9169178083</v>
      </c>
      <c r="D86" s="22">
        <f>C86+A144</f>
        <v>2663122.9169178084</v>
      </c>
      <c r="F86" s="71">
        <f>$A$144</f>
        <v>2201676</v>
      </c>
    </row>
    <row r="87" spans="1:6" ht="15.75">
      <c r="A87" s="24"/>
      <c r="B87" s="25" t="s">
        <v>23</v>
      </c>
      <c r="C87" s="26">
        <f>SUM(C80:C86)</f>
        <v>2008651.3717808225</v>
      </c>
      <c r="D87" s="27"/>
      <c r="F87" s="72"/>
    </row>
    <row r="88" spans="1:6" ht="33.75" thickBot="1">
      <c r="A88" s="32"/>
      <c r="B88" s="33"/>
      <c r="C88" s="34" t="s">
        <v>50</v>
      </c>
      <c r="D88" s="35">
        <f>SUM(D80:D86)</f>
        <v>10815355.371780822</v>
      </c>
      <c r="F88" s="74">
        <f>SUM(F80:F86)</f>
        <v>8806704</v>
      </c>
    </row>
    <row r="89" spans="1:6" ht="17.25" thickBot="1">
      <c r="A89" s="50"/>
      <c r="B89" s="51"/>
      <c r="C89" s="52"/>
      <c r="D89" s="53"/>
    </row>
    <row r="90" spans="1:6" ht="39" thickBot="1">
      <c r="A90" s="54" t="s">
        <v>15</v>
      </c>
      <c r="B90" s="55" t="s">
        <v>16</v>
      </c>
      <c r="C90" s="55" t="s">
        <v>17</v>
      </c>
      <c r="D90" s="56" t="s">
        <v>18</v>
      </c>
      <c r="F90" s="69" t="s">
        <v>81</v>
      </c>
    </row>
    <row r="91" spans="1:6" ht="15.75">
      <c r="A91" s="15" t="s">
        <v>51</v>
      </c>
      <c r="B91" s="16"/>
      <c r="C91" s="17"/>
      <c r="D91" s="18"/>
      <c r="F91" s="70"/>
    </row>
    <row r="92" spans="1:6" ht="15.75">
      <c r="A92" s="19">
        <f>A86-A144</f>
        <v>35226796.150000006</v>
      </c>
      <c r="B92" s="20">
        <v>0.05</v>
      </c>
      <c r="C92" s="21">
        <f>(A92*B92)/365*90</f>
        <v>434302.96623287676</v>
      </c>
      <c r="D92" s="22">
        <f>C92+A144</f>
        <v>2635978.9662328768</v>
      </c>
      <c r="F92" s="71">
        <f>$A$144</f>
        <v>2201676</v>
      </c>
    </row>
    <row r="93" spans="1:6" ht="15.75">
      <c r="A93" s="19" t="s">
        <v>52</v>
      </c>
      <c r="B93" s="20"/>
      <c r="C93" s="21"/>
      <c r="D93" s="22"/>
      <c r="F93" s="71"/>
    </row>
    <row r="94" spans="1:6" ht="15.75">
      <c r="A94" s="19">
        <f>A92-A144</f>
        <v>33025120.150000006</v>
      </c>
      <c r="B94" s="20">
        <v>0.05</v>
      </c>
      <c r="C94" s="21">
        <f>(A94*B94)/365*90</f>
        <v>407159.01554794522</v>
      </c>
      <c r="D94" s="22">
        <f>C94+A144</f>
        <v>2608835.0155479452</v>
      </c>
      <c r="F94" s="71">
        <f>$A$144</f>
        <v>2201676</v>
      </c>
    </row>
    <row r="95" spans="1:6" ht="15.75">
      <c r="A95" s="19" t="s">
        <v>53</v>
      </c>
      <c r="B95" s="20"/>
      <c r="C95" s="21"/>
      <c r="D95" s="22"/>
      <c r="F95" s="71"/>
    </row>
    <row r="96" spans="1:6" ht="15.75">
      <c r="A96" s="19">
        <f>A94-A144</f>
        <v>30823444.150000006</v>
      </c>
      <c r="B96" s="20">
        <v>0.05</v>
      </c>
      <c r="C96" s="21">
        <f>(A96*B96)/365*90</f>
        <v>380015.0648630138</v>
      </c>
      <c r="D96" s="22">
        <f>C96+A144</f>
        <v>2581691.064863014</v>
      </c>
      <c r="F96" s="71">
        <f>$A$144</f>
        <v>2201676</v>
      </c>
    </row>
    <row r="97" spans="1:6" ht="15.75">
      <c r="A97" s="19" t="s">
        <v>54</v>
      </c>
      <c r="B97" s="20"/>
      <c r="C97" s="21"/>
      <c r="D97" s="22"/>
      <c r="F97" s="71"/>
    </row>
    <row r="98" spans="1:6" ht="16.5" thickBot="1">
      <c r="A98" s="19">
        <f>A96-A144</f>
        <v>28621768.150000006</v>
      </c>
      <c r="B98" s="20">
        <v>0.05</v>
      </c>
      <c r="C98" s="23">
        <f>(A98*B98)/365*90</f>
        <v>352871.11417808227</v>
      </c>
      <c r="D98" s="22">
        <f>C98+A144</f>
        <v>2554547.1141780824</v>
      </c>
      <c r="F98" s="71">
        <f>$A$144</f>
        <v>2201676</v>
      </c>
    </row>
    <row r="99" spans="1:6" ht="15.75">
      <c r="A99" s="24"/>
      <c r="B99" s="25" t="s">
        <v>23</v>
      </c>
      <c r="C99" s="26">
        <f>SUM(C92:C98)</f>
        <v>1574348.1608219179</v>
      </c>
      <c r="D99" s="27"/>
      <c r="F99" s="72"/>
    </row>
    <row r="100" spans="1:6" ht="33.75" thickBot="1">
      <c r="A100" s="32"/>
      <c r="B100" s="33"/>
      <c r="C100" s="34" t="s">
        <v>55</v>
      </c>
      <c r="D100" s="35">
        <f>SUM(D92:D98)</f>
        <v>10381052.160821918</v>
      </c>
      <c r="F100" s="74">
        <f>SUM(F92:F98)</f>
        <v>8806704</v>
      </c>
    </row>
    <row r="101" spans="1:6" ht="17.25" thickBot="1">
      <c r="A101" s="50"/>
      <c r="B101" s="51"/>
      <c r="C101" s="52"/>
      <c r="D101" s="53"/>
    </row>
    <row r="102" spans="1:6" ht="39" thickBot="1">
      <c r="A102" s="54" t="s">
        <v>15</v>
      </c>
      <c r="B102" s="55" t="s">
        <v>16</v>
      </c>
      <c r="C102" s="55" t="s">
        <v>17</v>
      </c>
      <c r="D102" s="56" t="s">
        <v>18</v>
      </c>
      <c r="F102" s="69" t="s">
        <v>81</v>
      </c>
    </row>
    <row r="103" spans="1:6" ht="15.75">
      <c r="A103" s="15" t="s">
        <v>56</v>
      </c>
      <c r="B103" s="16"/>
      <c r="C103" s="17"/>
      <c r="D103" s="18"/>
      <c r="F103" s="70"/>
    </row>
    <row r="104" spans="1:6" ht="15.75">
      <c r="A104" s="19">
        <f>A98-A144</f>
        <v>26420092.150000006</v>
      </c>
      <c r="B104" s="20">
        <v>0.05</v>
      </c>
      <c r="C104" s="21">
        <f>(A104*B104)/365*90</f>
        <v>325727.16349315079</v>
      </c>
      <c r="D104" s="22">
        <f>C104+A144</f>
        <v>2527403.1634931508</v>
      </c>
      <c r="F104" s="71">
        <f>$A$144</f>
        <v>2201676</v>
      </c>
    </row>
    <row r="105" spans="1:6" ht="15.75">
      <c r="A105" s="19" t="s">
        <v>57</v>
      </c>
      <c r="B105" s="20"/>
      <c r="C105" s="21"/>
      <c r="D105" s="22"/>
      <c r="F105" s="71"/>
    </row>
    <row r="106" spans="1:6" ht="15.75">
      <c r="A106" s="19">
        <f>A104-A144</f>
        <v>24218416.150000006</v>
      </c>
      <c r="B106" s="20">
        <v>0.05</v>
      </c>
      <c r="C106" s="21">
        <f>(A106*B106)/365*90</f>
        <v>298583.21280821925</v>
      </c>
      <c r="D106" s="22">
        <f>C106+A144</f>
        <v>2500259.2128082193</v>
      </c>
      <c r="F106" s="71">
        <f>$A$144</f>
        <v>2201676</v>
      </c>
    </row>
    <row r="107" spans="1:6" ht="15.75">
      <c r="A107" s="19" t="s">
        <v>58</v>
      </c>
      <c r="B107" s="20"/>
      <c r="C107" s="21"/>
      <c r="D107" s="22"/>
      <c r="F107" s="71"/>
    </row>
    <row r="108" spans="1:6" ht="15.75">
      <c r="A108" s="19">
        <f>A106-A144</f>
        <v>22016740.150000006</v>
      </c>
      <c r="B108" s="20">
        <v>0.05</v>
      </c>
      <c r="C108" s="21">
        <f>(A108*B108)/365*90</f>
        <v>271439.26212328777</v>
      </c>
      <c r="D108" s="22">
        <f>C108+A144</f>
        <v>2473115.2621232877</v>
      </c>
      <c r="F108" s="71">
        <f>$A$144</f>
        <v>2201676</v>
      </c>
    </row>
    <row r="109" spans="1:6" ht="15.75">
      <c r="A109" s="19" t="s">
        <v>59</v>
      </c>
      <c r="B109" s="20"/>
      <c r="C109" s="21"/>
      <c r="D109" s="22"/>
      <c r="F109" s="71"/>
    </row>
    <row r="110" spans="1:6" ht="16.5" thickBot="1">
      <c r="A110" s="19">
        <f>A108-A144</f>
        <v>19815064.150000006</v>
      </c>
      <c r="B110" s="20">
        <v>0.05</v>
      </c>
      <c r="C110" s="23">
        <f>(A110*B110)/365*90</f>
        <v>244295.31143835626</v>
      </c>
      <c r="D110" s="22">
        <f>C110+A144</f>
        <v>2445971.3114383561</v>
      </c>
      <c r="F110" s="71">
        <f>$A$144</f>
        <v>2201676</v>
      </c>
    </row>
    <row r="111" spans="1:6" ht="15.75">
      <c r="A111" s="24"/>
      <c r="B111" s="25" t="s">
        <v>23</v>
      </c>
      <c r="C111" s="26">
        <f>SUM(C104:C110)</f>
        <v>1140044.949863014</v>
      </c>
      <c r="D111" s="27"/>
      <c r="F111" s="72"/>
    </row>
    <row r="112" spans="1:6" ht="33.75" thickBot="1">
      <c r="A112" s="32"/>
      <c r="B112" s="33"/>
      <c r="C112" s="34" t="s">
        <v>60</v>
      </c>
      <c r="D112" s="35">
        <f>SUM(D104:D110)</f>
        <v>9946748.9498630147</v>
      </c>
      <c r="F112" s="74">
        <f>SUM(F104:F110)</f>
        <v>8806704</v>
      </c>
    </row>
    <row r="113" spans="1:6" ht="17.25" thickBot="1">
      <c r="A113" s="50"/>
      <c r="B113" s="51"/>
      <c r="C113" s="52"/>
      <c r="D113" s="53"/>
    </row>
    <row r="114" spans="1:6" ht="39" thickBot="1">
      <c r="A114" s="54" t="s">
        <v>15</v>
      </c>
      <c r="B114" s="55" t="s">
        <v>16</v>
      </c>
      <c r="C114" s="55" t="s">
        <v>17</v>
      </c>
      <c r="D114" s="56" t="s">
        <v>18</v>
      </c>
      <c r="F114" s="69" t="s">
        <v>81</v>
      </c>
    </row>
    <row r="115" spans="1:6" ht="15.75">
      <c r="A115" s="15" t="s">
        <v>61</v>
      </c>
      <c r="B115" s="16"/>
      <c r="C115" s="17"/>
      <c r="D115" s="18"/>
      <c r="F115" s="70"/>
    </row>
    <row r="116" spans="1:6" ht="15.75">
      <c r="A116" s="19">
        <f>A110-A144</f>
        <v>17613388.150000006</v>
      </c>
      <c r="B116" s="20">
        <v>0.05</v>
      </c>
      <c r="C116" s="21">
        <f>(A116*B116)/365*90</f>
        <v>217151.36075342476</v>
      </c>
      <c r="D116" s="22">
        <f>C116+A144</f>
        <v>2418827.3607534249</v>
      </c>
      <c r="F116" s="71">
        <f>$A$144</f>
        <v>2201676</v>
      </c>
    </row>
    <row r="117" spans="1:6" ht="15.75">
      <c r="A117" s="19" t="s">
        <v>62</v>
      </c>
      <c r="B117" s="20"/>
      <c r="C117" s="21"/>
      <c r="D117" s="22"/>
      <c r="F117" s="71"/>
    </row>
    <row r="118" spans="1:6" ht="15.75">
      <c r="A118" s="19">
        <f>A116-A144</f>
        <v>15411712.150000006</v>
      </c>
      <c r="B118" s="20">
        <v>0.05</v>
      </c>
      <c r="C118" s="21">
        <f>(A118*B118)/365*90</f>
        <v>190007.41006849325</v>
      </c>
      <c r="D118" s="22">
        <f>C118+A144</f>
        <v>2391683.4100684933</v>
      </c>
      <c r="F118" s="71">
        <f>$A$144</f>
        <v>2201676</v>
      </c>
    </row>
    <row r="119" spans="1:6" ht="15.75">
      <c r="A119" s="19" t="s">
        <v>63</v>
      </c>
      <c r="B119" s="20"/>
      <c r="C119" s="21"/>
      <c r="D119" s="22"/>
      <c r="F119" s="71"/>
    </row>
    <row r="120" spans="1:6" ht="15.75">
      <c r="A120" s="19">
        <f>A118-A144</f>
        <v>13210036.150000006</v>
      </c>
      <c r="B120" s="20">
        <v>0.05</v>
      </c>
      <c r="C120" s="21">
        <f>(A120*B120)/365*90</f>
        <v>162863.45938356174</v>
      </c>
      <c r="D120" s="22">
        <f>C120+A144</f>
        <v>2364539.4593835617</v>
      </c>
      <c r="F120" s="71">
        <f>$A$144</f>
        <v>2201676</v>
      </c>
    </row>
    <row r="121" spans="1:6" ht="15.75">
      <c r="A121" s="19" t="s">
        <v>64</v>
      </c>
      <c r="B121" s="20"/>
      <c r="C121" s="21"/>
      <c r="D121" s="22"/>
      <c r="F121" s="71"/>
    </row>
    <row r="122" spans="1:6" ht="16.5" thickBot="1">
      <c r="A122" s="19">
        <f>A120-A144</f>
        <v>11008360.150000006</v>
      </c>
      <c r="B122" s="20">
        <v>0.05</v>
      </c>
      <c r="C122" s="23">
        <f>(A122*B122)/365*90</f>
        <v>135719.5086986302</v>
      </c>
      <c r="D122" s="22">
        <f>C122+A144</f>
        <v>2337395.5086986301</v>
      </c>
      <c r="F122" s="71">
        <f>$A$144</f>
        <v>2201676</v>
      </c>
    </row>
    <row r="123" spans="1:6" ht="15.75">
      <c r="A123" s="24"/>
      <c r="B123" s="25" t="s">
        <v>23</v>
      </c>
      <c r="C123" s="26">
        <f>SUM(C116:C122)</f>
        <v>705741.73890410992</v>
      </c>
      <c r="D123" s="27"/>
      <c r="F123" s="72"/>
    </row>
    <row r="124" spans="1:6" ht="33.75" thickBot="1">
      <c r="A124" s="32"/>
      <c r="B124" s="33"/>
      <c r="C124" s="34" t="s">
        <v>65</v>
      </c>
      <c r="D124" s="35">
        <f>SUM(D116:D122)</f>
        <v>9512445.7389041111</v>
      </c>
      <c r="F124" s="74">
        <f>SUM(F116:F122)</f>
        <v>8806704</v>
      </c>
    </row>
    <row r="125" spans="1:6" ht="17.25" thickBot="1">
      <c r="A125" s="50"/>
      <c r="B125" s="51"/>
      <c r="C125" s="52"/>
      <c r="D125" s="53"/>
    </row>
    <row r="126" spans="1:6" ht="39" thickBot="1">
      <c r="A126" s="54" t="s">
        <v>15</v>
      </c>
      <c r="B126" s="55" t="s">
        <v>16</v>
      </c>
      <c r="C126" s="55" t="s">
        <v>17</v>
      </c>
      <c r="D126" s="56" t="s">
        <v>18</v>
      </c>
      <c r="F126" s="69" t="s">
        <v>81</v>
      </c>
    </row>
    <row r="127" spans="1:6" ht="15.75">
      <c r="A127" s="15" t="s">
        <v>66</v>
      </c>
      <c r="B127" s="16"/>
      <c r="C127" s="17"/>
      <c r="D127" s="18"/>
      <c r="F127" s="70"/>
    </row>
    <row r="128" spans="1:6" ht="15.75">
      <c r="A128" s="19">
        <f>A122-A144</f>
        <v>8806684.150000006</v>
      </c>
      <c r="B128" s="20">
        <v>0.05</v>
      </c>
      <c r="C128" s="21">
        <f>(A128*B128)/365*90</f>
        <v>108575.55801369871</v>
      </c>
      <c r="D128" s="22">
        <f>C128+A144</f>
        <v>2310251.5580136986</v>
      </c>
      <c r="F128" s="71">
        <f>$A$144</f>
        <v>2201676</v>
      </c>
    </row>
    <row r="129" spans="1:6" ht="15.75">
      <c r="A129" s="19" t="s">
        <v>67</v>
      </c>
      <c r="B129" s="20"/>
      <c r="C129" s="21"/>
      <c r="D129" s="22"/>
      <c r="F129" s="71"/>
    </row>
    <row r="130" spans="1:6" ht="15.75">
      <c r="A130" s="19">
        <f>A128-A144</f>
        <v>6605008.150000006</v>
      </c>
      <c r="B130" s="20">
        <v>0.05</v>
      </c>
      <c r="C130" s="21">
        <f>(A130*B130)/365*90</f>
        <v>81431.607328767204</v>
      </c>
      <c r="D130" s="22">
        <f>C130+A144</f>
        <v>2283107.6073287674</v>
      </c>
      <c r="F130" s="71">
        <f>$A$144</f>
        <v>2201676</v>
      </c>
    </row>
    <row r="131" spans="1:6" ht="15.75">
      <c r="A131" s="19" t="s">
        <v>68</v>
      </c>
      <c r="B131" s="20"/>
      <c r="C131" s="21"/>
      <c r="D131" s="22"/>
      <c r="F131" s="71"/>
    </row>
    <row r="132" spans="1:6" ht="15.75">
      <c r="A132" s="19">
        <f>A130-A144</f>
        <v>4403332.150000006</v>
      </c>
      <c r="B132" s="20">
        <v>0.05</v>
      </c>
      <c r="C132" s="21">
        <f>(A132*B132)/365*90</f>
        <v>54287.656643835689</v>
      </c>
      <c r="D132" s="22">
        <f>C132+A144</f>
        <v>2255963.6566438358</v>
      </c>
      <c r="F132" s="71">
        <f>$A$144</f>
        <v>2201676</v>
      </c>
    </row>
    <row r="133" spans="1:6" ht="15.75">
      <c r="A133" s="19" t="s">
        <v>69</v>
      </c>
      <c r="B133" s="20"/>
      <c r="C133" s="21"/>
      <c r="D133" s="22"/>
      <c r="F133" s="71"/>
    </row>
    <row r="134" spans="1:6" ht="16.5" thickBot="1">
      <c r="A134" s="19">
        <f>A132-A144</f>
        <v>2201656.150000006</v>
      </c>
      <c r="B134" s="20">
        <v>0.05</v>
      </c>
      <c r="C134" s="23">
        <f>(A134*B134)/365*90</f>
        <v>27143.705958904182</v>
      </c>
      <c r="D134" s="22">
        <f>C134+A144</f>
        <v>2228819.7059589042</v>
      </c>
      <c r="F134" s="71">
        <v>2201656.15</v>
      </c>
    </row>
    <row r="135" spans="1:6" ht="15.75">
      <c r="A135" s="24"/>
      <c r="B135" s="25" t="s">
        <v>23</v>
      </c>
      <c r="C135" s="26">
        <f>SUM(C128:C134)</f>
        <v>271438.5279452058</v>
      </c>
      <c r="D135" s="27"/>
      <c r="F135" s="72"/>
    </row>
    <row r="136" spans="1:6" ht="33.75" thickBot="1">
      <c r="A136" s="32"/>
      <c r="B136" s="33"/>
      <c r="C136" s="34" t="s">
        <v>70</v>
      </c>
      <c r="D136" s="35">
        <f>SUM(D128:D134)</f>
        <v>9078142.5279452056</v>
      </c>
      <c r="F136" s="74">
        <f>SUM(F128:F134)</f>
        <v>8806684.1500000004</v>
      </c>
    </row>
    <row r="137" spans="1:6" ht="16.5">
      <c r="A137" s="50"/>
      <c r="B137" s="51"/>
      <c r="C137" s="52"/>
      <c r="D137" s="53"/>
    </row>
    <row r="138" spans="1:6" ht="18">
      <c r="A138" s="404" t="s">
        <v>71</v>
      </c>
      <c r="B138" s="404"/>
      <c r="C138" s="404"/>
      <c r="D138" s="80">
        <f>SUM(D140:D142)</f>
        <v>112004029.19545281</v>
      </c>
      <c r="F138" s="78">
        <f>SUM(F16,F28,F40,F52,F64,F76,F88,F100,F112,F124,F136)</f>
        <v>88067020.150000006</v>
      </c>
    </row>
    <row r="139" spans="1:6" ht="16.5">
      <c r="A139" s="405" t="s">
        <v>72</v>
      </c>
      <c r="B139" s="405"/>
      <c r="C139" s="405"/>
      <c r="D139" s="58"/>
    </row>
    <row r="140" spans="1:6">
      <c r="A140" s="401" t="s">
        <v>73</v>
      </c>
      <c r="B140" s="401"/>
      <c r="C140" s="401"/>
      <c r="D140" s="59">
        <f>A144*40</f>
        <v>88067040</v>
      </c>
    </row>
    <row r="141" spans="1:6">
      <c r="A141" s="401" t="s">
        <v>74</v>
      </c>
      <c r="B141" s="401"/>
      <c r="C141" s="401"/>
      <c r="D141" s="59">
        <f>SUM(C14,C27,C39,C51,C63,C75,C87,C99,C111,C123,C135)</f>
        <v>23857728.877317812</v>
      </c>
    </row>
    <row r="142" spans="1:6">
      <c r="A142" s="401" t="s">
        <v>75</v>
      </c>
      <c r="B142" s="401"/>
      <c r="C142" s="401"/>
      <c r="D142" s="59">
        <f>C15</f>
        <v>79260.318135000009</v>
      </c>
    </row>
    <row r="143" spans="1:6">
      <c r="A143" s="60" t="s">
        <v>76</v>
      </c>
      <c r="B143" s="134">
        <v>39</v>
      </c>
    </row>
    <row r="144" spans="1:6" ht="15.75">
      <c r="A144" s="81">
        <v>2201676</v>
      </c>
      <c r="B144" t="s">
        <v>184</v>
      </c>
      <c r="C144" s="396" t="s">
        <v>87</v>
      </c>
      <c r="D144" s="396"/>
    </row>
    <row r="145" spans="4:4">
      <c r="D145" s="82">
        <f>SUM(D141:D142)</f>
        <v>23936989.195452813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28000000000000003" top="0.3" bottom="0.42" header="0.18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145"/>
  <sheetViews>
    <sheetView topLeftCell="A7" zoomScale="85" zoomScaleNormal="85" workbookViewId="0">
      <selection activeCell="J28" sqref="J28"/>
    </sheetView>
  </sheetViews>
  <sheetFormatPr defaultRowHeight="14.25"/>
  <cols>
    <col min="1" max="1" width="19.5" customWidth="1"/>
    <col min="2" max="2" width="14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02" t="s">
        <v>159</v>
      </c>
      <c r="B2" s="402"/>
      <c r="C2" s="402"/>
      <c r="D2" s="402"/>
      <c r="E2" s="402"/>
      <c r="F2" s="402"/>
    </row>
    <row r="3" spans="1:6">
      <c r="A3" s="403" t="s">
        <v>90</v>
      </c>
      <c r="B3" s="403"/>
      <c r="C3" s="403"/>
      <c r="D3" s="403"/>
      <c r="F3" s="67" t="s">
        <v>80</v>
      </c>
    </row>
    <row r="4" spans="1:6" ht="15" thickBot="1">
      <c r="D4" s="11" t="s">
        <v>14</v>
      </c>
    </row>
    <row r="5" spans="1:6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6" ht="15.75">
      <c r="A6" s="15" t="s">
        <v>19</v>
      </c>
      <c r="B6" s="16"/>
      <c r="C6" s="17"/>
      <c r="D6" s="18"/>
      <c r="F6" s="70"/>
    </row>
    <row r="7" spans="1:6" ht="15.75">
      <c r="A7" s="19"/>
      <c r="B7" s="20">
        <v>0</v>
      </c>
      <c r="C7" s="21">
        <f>(A7*B7)/365*90</f>
        <v>0</v>
      </c>
      <c r="D7" s="22">
        <v>0</v>
      </c>
      <c r="F7" s="71">
        <v>0</v>
      </c>
    </row>
    <row r="8" spans="1:6" ht="15.75">
      <c r="A8" s="19" t="s">
        <v>20</v>
      </c>
      <c r="B8" s="20"/>
      <c r="C8" s="21"/>
      <c r="D8" s="22"/>
      <c r="F8" s="71"/>
    </row>
    <row r="9" spans="1:6" ht="15.75">
      <c r="A9" s="19"/>
      <c r="B9" s="20">
        <v>0</v>
      </c>
      <c r="C9" s="21">
        <f>(A9*B9)/365*90</f>
        <v>0</v>
      </c>
      <c r="D9" s="22">
        <v>0</v>
      </c>
      <c r="F9" s="71">
        <v>0</v>
      </c>
    </row>
    <row r="10" spans="1:6" ht="15.75">
      <c r="A10" s="19" t="s">
        <v>21</v>
      </c>
      <c r="B10" s="20"/>
      <c r="C10" s="21"/>
      <c r="D10" s="22"/>
      <c r="F10" s="71"/>
    </row>
    <row r="11" spans="1:6" ht="15.75">
      <c r="A11" s="19"/>
      <c r="B11" s="20">
        <v>0</v>
      </c>
      <c r="C11" s="21">
        <f>(A11*B11)/365*90</f>
        <v>0</v>
      </c>
      <c r="D11" s="22">
        <v>0</v>
      </c>
      <c r="F11" s="71">
        <v>0</v>
      </c>
    </row>
    <row r="12" spans="1:6" ht="15.75">
      <c r="A12" s="19" t="s">
        <v>22</v>
      </c>
      <c r="B12" s="20"/>
      <c r="C12" s="21"/>
      <c r="D12" s="22"/>
      <c r="F12" s="71"/>
    </row>
    <row r="13" spans="1:6" ht="16.5" thickBot="1">
      <c r="A13" s="19">
        <v>42385124.960000001</v>
      </c>
      <c r="B13" s="20">
        <v>0</v>
      </c>
      <c r="C13" s="23">
        <f>(A13*B13)/365*90</f>
        <v>0</v>
      </c>
      <c r="D13" s="22">
        <f>C13</f>
        <v>0</v>
      </c>
      <c r="F13" s="71">
        <v>0</v>
      </c>
    </row>
    <row r="14" spans="1:6" ht="15.75">
      <c r="A14" s="24"/>
      <c r="B14" s="25" t="s">
        <v>23</v>
      </c>
      <c r="C14" s="26">
        <f>SUM(C7:C13)</f>
        <v>0</v>
      </c>
      <c r="D14" s="27"/>
      <c r="F14" s="72"/>
    </row>
    <row r="15" spans="1:6" ht="15.75">
      <c r="A15" s="28"/>
      <c r="B15" s="83" t="s">
        <v>24</v>
      </c>
      <c r="C15" s="30">
        <f>0.09%*A13</f>
        <v>38146.612463999998</v>
      </c>
      <c r="D15" s="31"/>
      <c r="F15" s="73"/>
    </row>
    <row r="16" spans="1:6" ht="33.75" thickBot="1">
      <c r="A16" s="32"/>
      <c r="B16" s="33"/>
      <c r="C16" s="34" t="s">
        <v>25</v>
      </c>
      <c r="D16" s="35">
        <f>SUM(D7:D13)+C15</f>
        <v>38146.612463999998</v>
      </c>
      <c r="F16" s="74">
        <f>SUM(F7:F13)+E15</f>
        <v>0</v>
      </c>
    </row>
    <row r="17" spans="1:6" ht="15" thickBot="1">
      <c r="A17" s="36"/>
      <c r="B17" s="36"/>
      <c r="C17" s="36"/>
      <c r="D17" s="36"/>
      <c r="F17" s="77"/>
    </row>
    <row r="18" spans="1:6" ht="39" thickBot="1">
      <c r="A18" s="12" t="s">
        <v>15</v>
      </c>
      <c r="B18" s="13" t="s">
        <v>16</v>
      </c>
      <c r="C18" s="13" t="s">
        <v>17</v>
      </c>
      <c r="D18" s="14" t="s">
        <v>18</v>
      </c>
      <c r="F18" s="69" t="s">
        <v>18</v>
      </c>
    </row>
    <row r="19" spans="1:6" ht="15.75">
      <c r="A19" s="15" t="s">
        <v>83</v>
      </c>
      <c r="B19" s="16"/>
      <c r="C19" s="17"/>
      <c r="D19" s="18"/>
      <c r="F19" s="70"/>
    </row>
    <row r="20" spans="1:6" ht="15.75">
      <c r="A20" s="19">
        <f>A13</f>
        <v>42385124.960000001</v>
      </c>
      <c r="B20" s="20">
        <v>5.5E-2</v>
      </c>
      <c r="C20" s="137">
        <v>1017711.29</v>
      </c>
      <c r="D20" s="22">
        <f>C20+F20</f>
        <v>2077344.25</v>
      </c>
      <c r="F20" s="71">
        <v>1059632.96</v>
      </c>
    </row>
    <row r="21" spans="1:6" ht="15.75">
      <c r="A21" s="19" t="s">
        <v>84</v>
      </c>
      <c r="B21" s="20"/>
      <c r="C21" s="21"/>
      <c r="D21" s="22"/>
      <c r="F21" s="71"/>
    </row>
    <row r="22" spans="1:6" ht="15.75">
      <c r="A22" s="19">
        <f>A20-F20</f>
        <v>41325492</v>
      </c>
      <c r="B22" s="20">
        <v>5.5E-2</v>
      </c>
      <c r="C22" s="21">
        <f>(A22*B22)/365*90</f>
        <v>560441.60383561649</v>
      </c>
      <c r="D22" s="22">
        <f>C22+A144</f>
        <v>1620069.6038356165</v>
      </c>
      <c r="F22" s="71">
        <f>$A$144</f>
        <v>1059628</v>
      </c>
    </row>
    <row r="23" spans="1:6" ht="15.75">
      <c r="A23" s="19" t="s">
        <v>85</v>
      </c>
      <c r="B23" s="20"/>
      <c r="C23" s="21"/>
      <c r="D23" s="22"/>
      <c r="F23" s="71"/>
    </row>
    <row r="24" spans="1:6" ht="15.75">
      <c r="A24" s="19">
        <f>A22-A144</f>
        <v>40265864</v>
      </c>
      <c r="B24" s="20">
        <v>5.5E-2</v>
      </c>
      <c r="C24" s="21">
        <f>(A24*B24)/365*90</f>
        <v>546071.30630136991</v>
      </c>
      <c r="D24" s="22">
        <f>C24+A144</f>
        <v>1605699.3063013698</v>
      </c>
      <c r="F24" s="71">
        <f>$A$144</f>
        <v>1059628</v>
      </c>
    </row>
    <row r="25" spans="1:6" ht="15.75">
      <c r="A25" s="19" t="s">
        <v>86</v>
      </c>
      <c r="B25" s="20"/>
      <c r="C25" s="21"/>
      <c r="D25" s="22"/>
      <c r="F25" s="71"/>
    </row>
    <row r="26" spans="1:6" ht="16.5" thickBot="1">
      <c r="A26" s="19">
        <f>A24-A144</f>
        <v>39206236</v>
      </c>
      <c r="B26" s="20">
        <v>0.06</v>
      </c>
      <c r="C26" s="23">
        <f>(A26*B26)/365*90</f>
        <v>580037.464109589</v>
      </c>
      <c r="D26" s="22">
        <f>C26+A144</f>
        <v>1639665.4641095889</v>
      </c>
      <c r="F26" s="71">
        <f>$A$144</f>
        <v>1059628</v>
      </c>
    </row>
    <row r="27" spans="1:6" ht="15.75">
      <c r="A27" s="24"/>
      <c r="B27" s="25" t="s">
        <v>23</v>
      </c>
      <c r="C27" s="26">
        <f>SUM(C20:C26)</f>
        <v>2704261.6642465754</v>
      </c>
      <c r="D27" s="27"/>
      <c r="F27" s="72"/>
    </row>
    <row r="28" spans="1:6" ht="33.75" thickBot="1">
      <c r="A28" s="32"/>
      <c r="B28" s="33"/>
      <c r="C28" s="34" t="s">
        <v>82</v>
      </c>
      <c r="D28" s="35">
        <f>SUM(D20:D26)</f>
        <v>6942778.6242465749</v>
      </c>
      <c r="F28" s="74">
        <f>SUM(F20:F26)</f>
        <v>4238516.96</v>
      </c>
    </row>
    <row r="29" spans="1:6" ht="15" thickBot="1">
      <c r="A29" s="36"/>
      <c r="B29" s="37"/>
      <c r="C29" s="38"/>
      <c r="D29" s="36"/>
      <c r="F29" s="75"/>
    </row>
    <row r="30" spans="1:6" ht="39" thickBot="1">
      <c r="A30" s="12" t="s">
        <v>15</v>
      </c>
      <c r="B30" s="13" t="s">
        <v>16</v>
      </c>
      <c r="C30" s="13" t="s">
        <v>17</v>
      </c>
      <c r="D30" s="14" t="s">
        <v>18</v>
      </c>
      <c r="F30" s="69" t="s">
        <v>81</v>
      </c>
    </row>
    <row r="31" spans="1:6" ht="15.75">
      <c r="A31" s="15" t="s">
        <v>26</v>
      </c>
      <c r="B31" s="16"/>
      <c r="C31" s="17"/>
      <c r="D31" s="18"/>
      <c r="F31" s="70"/>
    </row>
    <row r="32" spans="1:6" ht="15.75">
      <c r="A32" s="19">
        <f>A26-A144</f>
        <v>38146608</v>
      </c>
      <c r="B32" s="20">
        <v>5.5E-2</v>
      </c>
      <c r="C32" s="21">
        <f>(A32*B32)/365*90</f>
        <v>517330.7112328767</v>
      </c>
      <c r="D32" s="22">
        <f>C32+A144</f>
        <v>1576958.7112328766</v>
      </c>
      <c r="F32" s="71">
        <f>$A$144</f>
        <v>1059628</v>
      </c>
    </row>
    <row r="33" spans="1:6" ht="15.75">
      <c r="A33" s="19" t="s">
        <v>27</v>
      </c>
      <c r="B33" s="20"/>
      <c r="C33" s="21"/>
      <c r="D33" s="22"/>
      <c r="F33" s="71"/>
    </row>
    <row r="34" spans="1:6" ht="15.75">
      <c r="A34" s="19">
        <f>A32-A144</f>
        <v>37086980</v>
      </c>
      <c r="B34" s="20">
        <v>5.8999999999999997E-2</v>
      </c>
      <c r="C34" s="21">
        <f>(A34*B34)/365*90</f>
        <v>539539.35287671222</v>
      </c>
      <c r="D34" s="22">
        <f>C34+A144</f>
        <v>1599167.3528767121</v>
      </c>
      <c r="F34" s="71">
        <f>$A$144</f>
        <v>1059628</v>
      </c>
    </row>
    <row r="35" spans="1:6" ht="15.75">
      <c r="A35" s="19" t="s">
        <v>28</v>
      </c>
      <c r="B35" s="20"/>
      <c r="C35" s="21"/>
      <c r="D35" s="22"/>
      <c r="F35" s="71"/>
    </row>
    <row r="36" spans="1:6" ht="15.75">
      <c r="A36" s="19">
        <f>A34-A144</f>
        <v>36027352</v>
      </c>
      <c r="B36" s="20">
        <v>5.8999999999999997E-2</v>
      </c>
      <c r="C36" s="21">
        <f>(A36*B36)/365*90</f>
        <v>524123.94279452047</v>
      </c>
      <c r="D36" s="22">
        <f>C36+A144</f>
        <v>1583751.9427945204</v>
      </c>
      <c r="F36" s="71">
        <f>$A$144</f>
        <v>1059628</v>
      </c>
    </row>
    <row r="37" spans="1:6" ht="15.75">
      <c r="A37" s="19" t="s">
        <v>29</v>
      </c>
      <c r="B37" s="20"/>
      <c r="C37" s="21"/>
      <c r="D37" s="22"/>
      <c r="F37" s="71"/>
    </row>
    <row r="38" spans="1:6" ht="16.5" thickBot="1">
      <c r="A38" s="19">
        <f>A36-A144</f>
        <v>34967724</v>
      </c>
      <c r="B38" s="20">
        <v>0.06</v>
      </c>
      <c r="C38" s="23">
        <f>(A38*B38)/365*90</f>
        <v>517330.7112328767</v>
      </c>
      <c r="D38" s="22">
        <f>C38+A144</f>
        <v>1576958.7112328766</v>
      </c>
      <c r="F38" s="71">
        <f>$A$144</f>
        <v>1059628</v>
      </c>
    </row>
    <row r="39" spans="1:6" ht="15.75">
      <c r="A39" s="24"/>
      <c r="B39" s="25" t="s">
        <v>23</v>
      </c>
      <c r="C39" s="26">
        <f>SUM(C32:C38)</f>
        <v>2098324.7181369863</v>
      </c>
      <c r="D39" s="27"/>
      <c r="F39" s="72"/>
    </row>
    <row r="40" spans="1:6" ht="33.75" thickBot="1">
      <c r="A40" s="32"/>
      <c r="B40" s="33"/>
      <c r="C40" s="34" t="s">
        <v>30</v>
      </c>
      <c r="D40" s="35">
        <f>SUM(D32:D38)</f>
        <v>6336836.7181369858</v>
      </c>
      <c r="F40" s="74">
        <f>SUM(F32:F38)</f>
        <v>4238512</v>
      </c>
    </row>
    <row r="41" spans="1:6" ht="15" thickBot="1">
      <c r="A41" s="36"/>
      <c r="B41" s="37"/>
      <c r="C41" s="38"/>
      <c r="D41" s="36"/>
      <c r="F41" s="77"/>
    </row>
    <row r="42" spans="1:6" ht="39" thickBot="1">
      <c r="A42" s="12" t="s">
        <v>15</v>
      </c>
      <c r="B42" s="13" t="s">
        <v>16</v>
      </c>
      <c r="C42" s="13" t="s">
        <v>17</v>
      </c>
      <c r="D42" s="14" t="s">
        <v>18</v>
      </c>
      <c r="F42" s="69" t="s">
        <v>81</v>
      </c>
    </row>
    <row r="43" spans="1:6" ht="15.75">
      <c r="A43" s="15" t="s">
        <v>31</v>
      </c>
      <c r="B43" s="16"/>
      <c r="C43" s="17"/>
      <c r="D43" s="18"/>
      <c r="F43" s="70"/>
    </row>
    <row r="44" spans="1:6" ht="15.75">
      <c r="A44" s="19">
        <f>A38-A144</f>
        <v>33908096</v>
      </c>
      <c r="B44" s="20">
        <v>5.5E-2</v>
      </c>
      <c r="C44" s="21">
        <f>(A44*B44)/365*90</f>
        <v>459849.52109589044</v>
      </c>
      <c r="D44" s="22">
        <f>C44+A144</f>
        <v>1519477.5210958906</v>
      </c>
      <c r="F44" s="71">
        <f>$A$144</f>
        <v>1059628</v>
      </c>
    </row>
    <row r="45" spans="1:6" ht="15.75">
      <c r="A45" s="19" t="s">
        <v>32</v>
      </c>
      <c r="B45" s="20"/>
      <c r="C45" s="21"/>
      <c r="D45" s="22"/>
      <c r="F45" s="71"/>
    </row>
    <row r="46" spans="1:6" ht="15.75">
      <c r="A46" s="19">
        <f>A44-A144</f>
        <v>32848468</v>
      </c>
      <c r="B46" s="20">
        <v>5.5E-2</v>
      </c>
      <c r="C46" s="21">
        <f>(A46*B46)/365*90</f>
        <v>445479.22356164386</v>
      </c>
      <c r="D46" s="22">
        <f>C46+A144</f>
        <v>1505107.2235616439</v>
      </c>
      <c r="F46" s="71">
        <f>$A$144</f>
        <v>1059628</v>
      </c>
    </row>
    <row r="47" spans="1:6" ht="15.75">
      <c r="A47" s="19" t="s">
        <v>33</v>
      </c>
      <c r="B47" s="20"/>
      <c r="C47" s="21"/>
      <c r="D47" s="22"/>
      <c r="F47" s="71"/>
    </row>
    <row r="48" spans="1:6" ht="15.75">
      <c r="A48" s="19">
        <f>A46-A144</f>
        <v>31788840</v>
      </c>
      <c r="B48" s="20">
        <v>5.5E-2</v>
      </c>
      <c r="C48" s="21">
        <f>(A48*B48)/365*90</f>
        <v>431108.92602739722</v>
      </c>
      <c r="D48" s="22">
        <f>C48+A144</f>
        <v>1490736.9260273972</v>
      </c>
      <c r="F48" s="71">
        <f>$A$144</f>
        <v>1059628</v>
      </c>
    </row>
    <row r="49" spans="1:6" ht="15.75">
      <c r="A49" s="19" t="s">
        <v>34</v>
      </c>
      <c r="B49" s="20"/>
      <c r="C49" s="21"/>
      <c r="D49" s="22"/>
      <c r="F49" s="71"/>
    </row>
    <row r="50" spans="1:6" ht="16.5" thickBot="1">
      <c r="A50" s="19">
        <f>A48-A144</f>
        <v>30729212</v>
      </c>
      <c r="B50" s="20">
        <v>5.5E-2</v>
      </c>
      <c r="C50" s="23">
        <f>(A50*B50)/365*90</f>
        <v>416738.62849315064</v>
      </c>
      <c r="D50" s="22">
        <f>C50+A144</f>
        <v>1476366.6284931507</v>
      </c>
      <c r="F50" s="71">
        <f>$A$144</f>
        <v>1059628</v>
      </c>
    </row>
    <row r="51" spans="1:6" ht="15.75">
      <c r="A51" s="24"/>
      <c r="B51" s="25" t="s">
        <v>23</v>
      </c>
      <c r="C51" s="26">
        <f>SUM(C44:C50)</f>
        <v>1753176.2991780823</v>
      </c>
      <c r="D51" s="27"/>
      <c r="F51" s="72"/>
    </row>
    <row r="52" spans="1:6" ht="33.75" thickBot="1">
      <c r="A52" s="39"/>
      <c r="B52" s="40"/>
      <c r="C52" s="41" t="s">
        <v>35</v>
      </c>
      <c r="D52" s="42">
        <f>SUM(D44:D50)</f>
        <v>5991688.2991780825</v>
      </c>
      <c r="F52" s="76">
        <f>SUM(F44:F50)</f>
        <v>4238512</v>
      </c>
    </row>
    <row r="53" spans="1:6" ht="17.25" thickBot="1">
      <c r="A53" s="43"/>
      <c r="B53" s="44"/>
      <c r="C53" s="45"/>
      <c r="D53" s="46"/>
      <c r="F53" s="46"/>
    </row>
    <row r="54" spans="1:6" ht="39" thickBot="1">
      <c r="A54" s="47" t="s">
        <v>15</v>
      </c>
      <c r="B54" s="48" t="s">
        <v>16</v>
      </c>
      <c r="C54" s="48" t="s">
        <v>17</v>
      </c>
      <c r="D54" s="49" t="s">
        <v>18</v>
      </c>
      <c r="F54" s="69" t="s">
        <v>81</v>
      </c>
    </row>
    <row r="55" spans="1:6" ht="15.75">
      <c r="A55" s="15" t="s">
        <v>36</v>
      </c>
      <c r="B55" s="16"/>
      <c r="C55" s="17"/>
      <c r="D55" s="18"/>
      <c r="F55" s="70"/>
    </row>
    <row r="56" spans="1:6" ht="15.75">
      <c r="A56" s="19">
        <f>A50-A144</f>
        <v>29669584</v>
      </c>
      <c r="B56" s="20">
        <v>5.5E-2</v>
      </c>
      <c r="C56" s="21">
        <f>(A56*B56)/365*90</f>
        <v>402368.33095890412</v>
      </c>
      <c r="D56" s="22">
        <f>C56+A144</f>
        <v>1461996.3309589042</v>
      </c>
      <c r="F56" s="71">
        <f>$A$144</f>
        <v>1059628</v>
      </c>
    </row>
    <row r="57" spans="1:6" ht="15.75">
      <c r="A57" s="19" t="s">
        <v>37</v>
      </c>
      <c r="B57" s="20"/>
      <c r="C57" s="21"/>
      <c r="D57" s="22"/>
      <c r="F57" s="71"/>
    </row>
    <row r="58" spans="1:6" ht="15.75">
      <c r="A58" s="19">
        <f>A56-A144</f>
        <v>28609956</v>
      </c>
      <c r="B58" s="20">
        <v>5.5E-2</v>
      </c>
      <c r="C58" s="21">
        <f>(A58*B58)/365*90</f>
        <v>387998.03342465759</v>
      </c>
      <c r="D58" s="22">
        <f>C58+A144</f>
        <v>1447626.0334246575</v>
      </c>
      <c r="F58" s="71">
        <f>$A$144</f>
        <v>1059628</v>
      </c>
    </row>
    <row r="59" spans="1:6" ht="15.75">
      <c r="A59" s="19" t="s">
        <v>38</v>
      </c>
      <c r="B59" s="20"/>
      <c r="C59" s="21"/>
      <c r="D59" s="22"/>
      <c r="F59" s="71"/>
    </row>
    <row r="60" spans="1:6" ht="15.75">
      <c r="A60" s="19">
        <f>A58-A144</f>
        <v>27550328</v>
      </c>
      <c r="B60" s="20">
        <v>5.5E-2</v>
      </c>
      <c r="C60" s="21">
        <f>(A60*B60)/365*90</f>
        <v>373627.73589041096</v>
      </c>
      <c r="D60" s="22">
        <f>C60+A144</f>
        <v>1433255.7358904108</v>
      </c>
      <c r="F60" s="71">
        <f>$A$144</f>
        <v>1059628</v>
      </c>
    </row>
    <row r="61" spans="1:6" ht="15.75">
      <c r="A61" s="19" t="s">
        <v>39</v>
      </c>
      <c r="B61" s="20"/>
      <c r="C61" s="21"/>
      <c r="D61" s="22"/>
      <c r="F61" s="71"/>
    </row>
    <row r="62" spans="1:6" ht="16.5" thickBot="1">
      <c r="A62" s="19">
        <f>A60-A144</f>
        <v>26490700</v>
      </c>
      <c r="B62" s="20">
        <v>0.06</v>
      </c>
      <c r="C62" s="23">
        <f>(A62*B62)/365*90</f>
        <v>391917.20547945204</v>
      </c>
      <c r="D62" s="22">
        <f>C62+A144</f>
        <v>1451545.2054794519</v>
      </c>
      <c r="F62" s="71">
        <f>$A$144</f>
        <v>1059628</v>
      </c>
    </row>
    <row r="63" spans="1:6" ht="15.75">
      <c r="A63" s="24"/>
      <c r="B63" s="25" t="s">
        <v>23</v>
      </c>
      <c r="C63" s="26">
        <f>SUM(C56:C62)</f>
        <v>1555911.3057534248</v>
      </c>
      <c r="D63" s="27"/>
      <c r="F63" s="72"/>
    </row>
    <row r="64" spans="1:6" ht="33.75" thickBot="1">
      <c r="A64" s="32"/>
      <c r="B64" s="33"/>
      <c r="C64" s="34" t="s">
        <v>40</v>
      </c>
      <c r="D64" s="35">
        <f>SUM(D56:D62)</f>
        <v>5794423.3057534248</v>
      </c>
      <c r="F64" s="74">
        <f>SUM(F56:F62)</f>
        <v>4238512</v>
      </c>
    </row>
    <row r="65" spans="1:6" ht="17.25" thickBot="1">
      <c r="A65" s="50"/>
      <c r="B65" s="51"/>
      <c r="C65" s="52"/>
      <c r="D65" s="53"/>
      <c r="F65" s="79"/>
    </row>
    <row r="66" spans="1:6" ht="39" thickBot="1">
      <c r="A66" s="54" t="s">
        <v>15</v>
      </c>
      <c r="B66" s="55" t="s">
        <v>16</v>
      </c>
      <c r="C66" s="55" t="s">
        <v>17</v>
      </c>
      <c r="D66" s="56" t="s">
        <v>18</v>
      </c>
      <c r="F66" s="69" t="s">
        <v>81</v>
      </c>
    </row>
    <row r="67" spans="1:6" ht="15.75">
      <c r="A67" s="15" t="s">
        <v>41</v>
      </c>
      <c r="B67" s="16"/>
      <c r="C67" s="17"/>
      <c r="D67" s="18"/>
      <c r="F67" s="70"/>
    </row>
    <row r="68" spans="1:6" ht="15.75">
      <c r="A68" s="19">
        <f>A62-A144</f>
        <v>25431072</v>
      </c>
      <c r="B68" s="20">
        <v>0.05</v>
      </c>
      <c r="C68" s="21">
        <f>(A68*B68)/365*90</f>
        <v>313533.76438356168</v>
      </c>
      <c r="D68" s="22">
        <f>C68+A144</f>
        <v>1373161.7643835617</v>
      </c>
      <c r="F68" s="71">
        <f>$A$144</f>
        <v>1059628</v>
      </c>
    </row>
    <row r="69" spans="1:6" ht="15.75">
      <c r="A69" s="19" t="s">
        <v>42</v>
      </c>
      <c r="B69" s="20"/>
      <c r="C69" s="21"/>
      <c r="D69" s="22"/>
      <c r="F69" s="71"/>
    </row>
    <row r="70" spans="1:6" ht="15.75">
      <c r="A70" s="19">
        <f>A68-A144</f>
        <v>24371444</v>
      </c>
      <c r="B70" s="20">
        <v>0.05</v>
      </c>
      <c r="C70" s="21">
        <f>(A70*B70)/365*90</f>
        <v>300469.85753424658</v>
      </c>
      <c r="D70" s="22">
        <f>C70+A144</f>
        <v>1360097.8575342465</v>
      </c>
      <c r="F70" s="71">
        <f>$A$144</f>
        <v>1059628</v>
      </c>
    </row>
    <row r="71" spans="1:6" ht="15.75">
      <c r="A71" s="19" t="s">
        <v>43</v>
      </c>
      <c r="B71" s="20"/>
      <c r="C71" s="21"/>
      <c r="D71" s="22"/>
      <c r="F71" s="71"/>
    </row>
    <row r="72" spans="1:6" ht="15.75">
      <c r="A72" s="19">
        <f>A70-A144</f>
        <v>23311816</v>
      </c>
      <c r="B72" s="20">
        <v>0.05</v>
      </c>
      <c r="C72" s="21">
        <f>(A72*B72)/365*90</f>
        <v>287405.95068493148</v>
      </c>
      <c r="D72" s="22">
        <f>C72+A144</f>
        <v>1347033.9506849316</v>
      </c>
      <c r="F72" s="71">
        <f>$A$144</f>
        <v>1059628</v>
      </c>
    </row>
    <row r="73" spans="1:6" ht="15.75">
      <c r="A73" s="19" t="s">
        <v>44</v>
      </c>
      <c r="B73" s="20"/>
      <c r="C73" s="21"/>
      <c r="D73" s="22"/>
      <c r="F73" s="71"/>
    </row>
    <row r="74" spans="1:6" ht="16.5" thickBot="1">
      <c r="A74" s="19">
        <f>A72-A144</f>
        <v>22252188</v>
      </c>
      <c r="B74" s="20">
        <v>0.05</v>
      </c>
      <c r="C74" s="23">
        <f>(A74*B74)/365*90</f>
        <v>274342.0438356165</v>
      </c>
      <c r="D74" s="22">
        <f>C74+A144</f>
        <v>1333970.0438356164</v>
      </c>
      <c r="F74" s="71">
        <f>$A$144</f>
        <v>1059628</v>
      </c>
    </row>
    <row r="75" spans="1:6" ht="15.75">
      <c r="A75" s="24"/>
      <c r="B75" s="25" t="s">
        <v>23</v>
      </c>
      <c r="C75" s="26">
        <f>SUM(C68:C74)</f>
        <v>1175751.6164383562</v>
      </c>
      <c r="D75" s="27"/>
      <c r="F75" s="72"/>
    </row>
    <row r="76" spans="1:6" ht="33.75" thickBot="1">
      <c r="A76" s="32"/>
      <c r="B76" s="33"/>
      <c r="C76" s="34" t="s">
        <v>45</v>
      </c>
      <c r="D76" s="35">
        <f>SUM(D68:D74)</f>
        <v>5414263.6164383562</v>
      </c>
      <c r="F76" s="74">
        <f>SUM(F68:F74)</f>
        <v>4238512</v>
      </c>
    </row>
    <row r="77" spans="1:6" ht="17.25" thickBot="1">
      <c r="A77" s="50"/>
      <c r="B77" s="51"/>
      <c r="C77" s="52"/>
      <c r="D77" s="53"/>
    </row>
    <row r="78" spans="1:6" ht="39" thickBot="1">
      <c r="A78" s="54" t="s">
        <v>15</v>
      </c>
      <c r="B78" s="55" t="s">
        <v>16</v>
      </c>
      <c r="C78" s="55" t="s">
        <v>17</v>
      </c>
      <c r="D78" s="56" t="s">
        <v>18</v>
      </c>
      <c r="F78" s="69" t="s">
        <v>81</v>
      </c>
    </row>
    <row r="79" spans="1:6" ht="15.75">
      <c r="A79" s="15" t="s">
        <v>46</v>
      </c>
      <c r="B79" s="16"/>
      <c r="C79" s="17"/>
      <c r="D79" s="18"/>
      <c r="F79" s="70"/>
    </row>
    <row r="80" spans="1:6" ht="15.75">
      <c r="A80" s="19">
        <f>A74-A144</f>
        <v>21192560</v>
      </c>
      <c r="B80" s="20">
        <v>0.05</v>
      </c>
      <c r="C80" s="21">
        <f>(A80*B80)/365*90</f>
        <v>261278.13698630137</v>
      </c>
      <c r="D80" s="22">
        <f>C80+A144</f>
        <v>1320906.1369863013</v>
      </c>
      <c r="F80" s="71">
        <f>$A$144</f>
        <v>1059628</v>
      </c>
    </row>
    <row r="81" spans="1:6" ht="15.75">
      <c r="A81" s="19" t="s">
        <v>47</v>
      </c>
      <c r="B81" s="20"/>
      <c r="C81" s="21"/>
      <c r="D81" s="22"/>
      <c r="F81" s="71"/>
    </row>
    <row r="82" spans="1:6" ht="15.75">
      <c r="A82" s="19">
        <f>A80-A144</f>
        <v>20132932</v>
      </c>
      <c r="B82" s="20">
        <v>0.05</v>
      </c>
      <c r="C82" s="21">
        <f>(A82*B82)/365*90</f>
        <v>248214.2301369863</v>
      </c>
      <c r="D82" s="22">
        <f>C82+A144</f>
        <v>1307842.2301369864</v>
      </c>
      <c r="F82" s="71">
        <f>$A$144</f>
        <v>1059628</v>
      </c>
    </row>
    <row r="83" spans="1:6" ht="15.75">
      <c r="A83" s="19" t="s">
        <v>48</v>
      </c>
      <c r="B83" s="20"/>
      <c r="C83" s="21"/>
      <c r="D83" s="22"/>
      <c r="F83" s="71"/>
    </row>
    <row r="84" spans="1:6" ht="15.75">
      <c r="A84" s="19">
        <f>A82-A144</f>
        <v>19073304</v>
      </c>
      <c r="B84" s="20">
        <v>0.05</v>
      </c>
      <c r="C84" s="21">
        <f>(A84*B84)/365*90</f>
        <v>235150.32328767126</v>
      </c>
      <c r="D84" s="22">
        <f>C84+A144</f>
        <v>1294778.3232876712</v>
      </c>
      <c r="F84" s="71">
        <f>$A$144</f>
        <v>1059628</v>
      </c>
    </row>
    <row r="85" spans="1:6" ht="15.75">
      <c r="A85" s="19" t="s">
        <v>49</v>
      </c>
      <c r="B85" s="20"/>
      <c r="C85" s="21"/>
      <c r="D85" s="22"/>
      <c r="F85" s="71"/>
    </row>
    <row r="86" spans="1:6" ht="16.5" thickBot="1">
      <c r="A86" s="19">
        <f>A84-A144</f>
        <v>18013676</v>
      </c>
      <c r="B86" s="20">
        <v>0.05</v>
      </c>
      <c r="C86" s="23">
        <f>(A86*B86)/365*90</f>
        <v>222086.41643835619</v>
      </c>
      <c r="D86" s="22">
        <f>C86+A144</f>
        <v>1281714.4164383563</v>
      </c>
      <c r="F86" s="71">
        <f>$A$144</f>
        <v>1059628</v>
      </c>
    </row>
    <row r="87" spans="1:6" ht="15.75">
      <c r="A87" s="24"/>
      <c r="B87" s="25" t="s">
        <v>23</v>
      </c>
      <c r="C87" s="26">
        <f>SUM(C80:C86)</f>
        <v>966729.10684931499</v>
      </c>
      <c r="D87" s="27"/>
      <c r="F87" s="72"/>
    </row>
    <row r="88" spans="1:6" ht="33.75" thickBot="1">
      <c r="A88" s="32"/>
      <c r="B88" s="33"/>
      <c r="C88" s="34" t="s">
        <v>50</v>
      </c>
      <c r="D88" s="35">
        <f>SUM(D80:D86)</f>
        <v>5205241.1068493146</v>
      </c>
      <c r="F88" s="74">
        <f>SUM(F80:F86)</f>
        <v>4238512</v>
      </c>
    </row>
    <row r="89" spans="1:6" ht="17.25" thickBot="1">
      <c r="A89" s="50"/>
      <c r="B89" s="51"/>
      <c r="C89" s="52"/>
      <c r="D89" s="53"/>
    </row>
    <row r="90" spans="1:6" ht="39" thickBot="1">
      <c r="A90" s="54" t="s">
        <v>15</v>
      </c>
      <c r="B90" s="55" t="s">
        <v>16</v>
      </c>
      <c r="C90" s="55" t="s">
        <v>17</v>
      </c>
      <c r="D90" s="56" t="s">
        <v>18</v>
      </c>
      <c r="F90" s="69" t="s">
        <v>81</v>
      </c>
    </row>
    <row r="91" spans="1:6" ht="15.75">
      <c r="A91" s="15" t="s">
        <v>51</v>
      </c>
      <c r="B91" s="16"/>
      <c r="C91" s="17"/>
      <c r="D91" s="18"/>
      <c r="F91" s="70"/>
    </row>
    <row r="92" spans="1:6" ht="15.75">
      <c r="A92" s="19">
        <f>A86-A144</f>
        <v>16954048</v>
      </c>
      <c r="B92" s="20">
        <v>0.05</v>
      </c>
      <c r="C92" s="21">
        <f>(A92*B92)/365*90</f>
        <v>209022.50958904109</v>
      </c>
      <c r="D92" s="22">
        <f>C92+A144</f>
        <v>1268650.5095890411</v>
      </c>
      <c r="F92" s="71">
        <f>$A$144</f>
        <v>1059628</v>
      </c>
    </row>
    <row r="93" spans="1:6" ht="15.75">
      <c r="A93" s="19" t="s">
        <v>52</v>
      </c>
      <c r="B93" s="20"/>
      <c r="C93" s="21"/>
      <c r="D93" s="22"/>
      <c r="F93" s="71"/>
    </row>
    <row r="94" spans="1:6" ht="15.75">
      <c r="A94" s="19">
        <f>A92-A144</f>
        <v>15894420</v>
      </c>
      <c r="B94" s="20">
        <v>0.05</v>
      </c>
      <c r="C94" s="21">
        <f>(A94*B94)/365*90</f>
        <v>195958.60273972602</v>
      </c>
      <c r="D94" s="22">
        <f>C94+A144</f>
        <v>1255586.602739726</v>
      </c>
      <c r="F94" s="71">
        <f>$A$144</f>
        <v>1059628</v>
      </c>
    </row>
    <row r="95" spans="1:6" ht="15.75">
      <c r="A95" s="19" t="s">
        <v>53</v>
      </c>
      <c r="B95" s="20"/>
      <c r="C95" s="21"/>
      <c r="D95" s="22"/>
      <c r="F95" s="71"/>
    </row>
    <row r="96" spans="1:6" ht="15.75">
      <c r="A96" s="19">
        <f>A94-A144</f>
        <v>14834792</v>
      </c>
      <c r="B96" s="20">
        <v>0.05</v>
      </c>
      <c r="C96" s="21">
        <f>(A96*B96)/365*90</f>
        <v>182894.69589041098</v>
      </c>
      <c r="D96" s="22">
        <f>C96+A144</f>
        <v>1242522.695890411</v>
      </c>
      <c r="F96" s="71">
        <f>$A$144</f>
        <v>1059628</v>
      </c>
    </row>
    <row r="97" spans="1:6" ht="15.75">
      <c r="A97" s="19" t="s">
        <v>54</v>
      </c>
      <c r="B97" s="20"/>
      <c r="C97" s="21"/>
      <c r="D97" s="22"/>
      <c r="F97" s="71"/>
    </row>
    <row r="98" spans="1:6" ht="16.5" thickBot="1">
      <c r="A98" s="19">
        <f>A96-A144</f>
        <v>13775164</v>
      </c>
      <c r="B98" s="20">
        <v>0.05</v>
      </c>
      <c r="C98" s="23">
        <f>(A98*B98)/365*90</f>
        <v>169830.78904109591</v>
      </c>
      <c r="D98" s="22">
        <f>C98+A144</f>
        <v>1229458.7890410959</v>
      </c>
      <c r="F98" s="71">
        <f>$A$144</f>
        <v>1059628</v>
      </c>
    </row>
    <row r="99" spans="1:6" ht="15.75">
      <c r="A99" s="24"/>
      <c r="B99" s="25" t="s">
        <v>23</v>
      </c>
      <c r="C99" s="26">
        <f>SUM(C92:C98)</f>
        <v>757706.59726027399</v>
      </c>
      <c r="D99" s="27"/>
      <c r="F99" s="72"/>
    </row>
    <row r="100" spans="1:6" ht="33.75" thickBot="1">
      <c r="A100" s="32"/>
      <c r="B100" s="33"/>
      <c r="C100" s="34" t="s">
        <v>55</v>
      </c>
      <c r="D100" s="35">
        <f>SUM(D92:D98)</f>
        <v>4996218.597260274</v>
      </c>
      <c r="F100" s="74">
        <f>SUM(F92:F98)</f>
        <v>4238512</v>
      </c>
    </row>
    <row r="101" spans="1:6" ht="17.25" thickBot="1">
      <c r="A101" s="50"/>
      <c r="B101" s="51"/>
      <c r="C101" s="52"/>
      <c r="D101" s="53"/>
    </row>
    <row r="102" spans="1:6" ht="39" thickBot="1">
      <c r="A102" s="54" t="s">
        <v>15</v>
      </c>
      <c r="B102" s="55" t="s">
        <v>16</v>
      </c>
      <c r="C102" s="55" t="s">
        <v>17</v>
      </c>
      <c r="D102" s="56" t="s">
        <v>18</v>
      </c>
      <c r="F102" s="69" t="s">
        <v>81</v>
      </c>
    </row>
    <row r="103" spans="1:6" ht="15.75">
      <c r="A103" s="15" t="s">
        <v>56</v>
      </c>
      <c r="B103" s="16"/>
      <c r="C103" s="17"/>
      <c r="D103" s="18"/>
      <c r="F103" s="70"/>
    </row>
    <row r="104" spans="1:6" ht="15.75">
      <c r="A104" s="19">
        <f>A98-A144</f>
        <v>12715536</v>
      </c>
      <c r="B104" s="20">
        <v>0.05</v>
      </c>
      <c r="C104" s="21">
        <f>(A104*B104)/365*90</f>
        <v>156766.88219178084</v>
      </c>
      <c r="D104" s="22">
        <f>C104+A144</f>
        <v>1216394.882191781</v>
      </c>
      <c r="F104" s="71">
        <f>$A$144</f>
        <v>1059628</v>
      </c>
    </row>
    <row r="105" spans="1:6" ht="15.75">
      <c r="A105" s="19" t="s">
        <v>57</v>
      </c>
      <c r="B105" s="20"/>
      <c r="C105" s="21"/>
      <c r="D105" s="22"/>
      <c r="F105" s="71"/>
    </row>
    <row r="106" spans="1:6" ht="15.75">
      <c r="A106" s="19">
        <f>A104-A144</f>
        <v>11655908</v>
      </c>
      <c r="B106" s="20">
        <v>0.05</v>
      </c>
      <c r="C106" s="21">
        <f>(A106*B106)/365*90</f>
        <v>143702.97534246574</v>
      </c>
      <c r="D106" s="22">
        <f>C106+A144</f>
        <v>1203330.9753424658</v>
      </c>
      <c r="F106" s="71">
        <f>$A$144</f>
        <v>1059628</v>
      </c>
    </row>
    <row r="107" spans="1:6" ht="15.75">
      <c r="A107" s="19" t="s">
        <v>58</v>
      </c>
      <c r="B107" s="20"/>
      <c r="C107" s="21"/>
      <c r="D107" s="22"/>
      <c r="F107" s="71"/>
    </row>
    <row r="108" spans="1:6" ht="15.75">
      <c r="A108" s="19">
        <f>A106-A144</f>
        <v>10596280</v>
      </c>
      <c r="B108" s="20">
        <v>0.05</v>
      </c>
      <c r="C108" s="21">
        <f>(A108*B108)/365*90</f>
        <v>130639.06849315068</v>
      </c>
      <c r="D108" s="22">
        <f>C108+A144</f>
        <v>1190267.0684931506</v>
      </c>
      <c r="F108" s="71">
        <f>$A$144</f>
        <v>1059628</v>
      </c>
    </row>
    <row r="109" spans="1:6" ht="15.75">
      <c r="A109" s="19" t="s">
        <v>59</v>
      </c>
      <c r="B109" s="20"/>
      <c r="C109" s="21"/>
      <c r="D109" s="22"/>
      <c r="F109" s="71"/>
    </row>
    <row r="110" spans="1:6" ht="16.5" thickBot="1">
      <c r="A110" s="19">
        <f>A108-A144</f>
        <v>9536652</v>
      </c>
      <c r="B110" s="20">
        <v>0.05</v>
      </c>
      <c r="C110" s="23">
        <f>(A110*B110)/365*90</f>
        <v>117575.16164383563</v>
      </c>
      <c r="D110" s="22">
        <f>C110+A144</f>
        <v>1177203.1616438357</v>
      </c>
      <c r="F110" s="71">
        <f>$A$144</f>
        <v>1059628</v>
      </c>
    </row>
    <row r="111" spans="1:6" ht="15.75">
      <c r="A111" s="24"/>
      <c r="B111" s="25" t="s">
        <v>23</v>
      </c>
      <c r="C111" s="26">
        <f>SUM(C104:C110)</f>
        <v>548684.08767123288</v>
      </c>
      <c r="D111" s="27"/>
      <c r="F111" s="72"/>
    </row>
    <row r="112" spans="1:6" ht="33.75" thickBot="1">
      <c r="A112" s="32"/>
      <c r="B112" s="33"/>
      <c r="C112" s="34" t="s">
        <v>60</v>
      </c>
      <c r="D112" s="35">
        <f>SUM(D104:D110)</f>
        <v>4787196.0876712333</v>
      </c>
      <c r="F112" s="74">
        <f>SUM(F104:F110)</f>
        <v>4238512</v>
      </c>
    </row>
    <row r="113" spans="1:6" ht="17.25" thickBot="1">
      <c r="A113" s="50"/>
      <c r="B113" s="51"/>
      <c r="C113" s="52"/>
      <c r="D113" s="53"/>
    </row>
    <row r="114" spans="1:6" ht="39" thickBot="1">
      <c r="A114" s="54" t="s">
        <v>15</v>
      </c>
      <c r="B114" s="55" t="s">
        <v>16</v>
      </c>
      <c r="C114" s="55" t="s">
        <v>17</v>
      </c>
      <c r="D114" s="56" t="s">
        <v>18</v>
      </c>
      <c r="F114" s="69" t="s">
        <v>81</v>
      </c>
    </row>
    <row r="115" spans="1:6" ht="15.75">
      <c r="A115" s="15" t="s">
        <v>61</v>
      </c>
      <c r="B115" s="16"/>
      <c r="C115" s="17"/>
      <c r="D115" s="18"/>
      <c r="F115" s="70"/>
    </row>
    <row r="116" spans="1:6" ht="15.75">
      <c r="A116" s="19">
        <f>A110-A144</f>
        <v>8477024</v>
      </c>
      <c r="B116" s="20">
        <v>0.05</v>
      </c>
      <c r="C116" s="21">
        <f>(A116*B116)/365*90</f>
        <v>104511.25479452054</v>
      </c>
      <c r="D116" s="22">
        <f>C116+A144</f>
        <v>1164139.2547945206</v>
      </c>
      <c r="F116" s="71">
        <f>$A$144</f>
        <v>1059628</v>
      </c>
    </row>
    <row r="117" spans="1:6" ht="15.75">
      <c r="A117" s="19" t="s">
        <v>62</v>
      </c>
      <c r="B117" s="20"/>
      <c r="C117" s="21"/>
      <c r="D117" s="22"/>
      <c r="F117" s="71"/>
    </row>
    <row r="118" spans="1:6" ht="15.75">
      <c r="A118" s="19">
        <f>A116-A144</f>
        <v>7417396</v>
      </c>
      <c r="B118" s="20">
        <v>0.05</v>
      </c>
      <c r="C118" s="21">
        <f>(A118*B118)/365*90</f>
        <v>91447.347945205489</v>
      </c>
      <c r="D118" s="22">
        <f>C118+A144</f>
        <v>1151075.3479452054</v>
      </c>
      <c r="F118" s="71">
        <f>$A$144</f>
        <v>1059628</v>
      </c>
    </row>
    <row r="119" spans="1:6" ht="15.75">
      <c r="A119" s="19" t="s">
        <v>63</v>
      </c>
      <c r="B119" s="20"/>
      <c r="C119" s="21"/>
      <c r="D119" s="22"/>
      <c r="F119" s="71"/>
    </row>
    <row r="120" spans="1:6" ht="15.75">
      <c r="A120" s="19">
        <f>A118-A144</f>
        <v>6357768</v>
      </c>
      <c r="B120" s="20">
        <v>0.05</v>
      </c>
      <c r="C120" s="21">
        <f>(A120*B120)/365*90</f>
        <v>78383.441095890419</v>
      </c>
      <c r="D120" s="22">
        <f>C120+A144</f>
        <v>1138011.4410958905</v>
      </c>
      <c r="F120" s="71">
        <f>$A$144</f>
        <v>1059628</v>
      </c>
    </row>
    <row r="121" spans="1:6" ht="15.75">
      <c r="A121" s="19" t="s">
        <v>64</v>
      </c>
      <c r="B121" s="20"/>
      <c r="C121" s="21"/>
      <c r="D121" s="22"/>
      <c r="F121" s="71"/>
    </row>
    <row r="122" spans="1:6" ht="16.5" thickBot="1">
      <c r="A122" s="19">
        <f>A120-A144</f>
        <v>5298140</v>
      </c>
      <c r="B122" s="20">
        <v>0.05</v>
      </c>
      <c r="C122" s="23">
        <f>(A122*B122)/365*90</f>
        <v>65319.534246575342</v>
      </c>
      <c r="D122" s="22">
        <f>C122+A144</f>
        <v>1124947.5342465753</v>
      </c>
      <c r="F122" s="71">
        <f>$A$144</f>
        <v>1059628</v>
      </c>
    </row>
    <row r="123" spans="1:6" ht="15.75">
      <c r="A123" s="24"/>
      <c r="B123" s="25" t="s">
        <v>23</v>
      </c>
      <c r="C123" s="26">
        <f>SUM(C116:C122)</f>
        <v>339661.57808219176</v>
      </c>
      <c r="D123" s="27"/>
      <c r="F123" s="72"/>
    </row>
    <row r="124" spans="1:6" ht="33.75" thickBot="1">
      <c r="A124" s="32"/>
      <c r="B124" s="33"/>
      <c r="C124" s="34" t="s">
        <v>65</v>
      </c>
      <c r="D124" s="35">
        <f>SUM(D116:D122)</f>
        <v>4578173.5780821918</v>
      </c>
      <c r="F124" s="74">
        <f>SUM(F116:F122)</f>
        <v>4238512</v>
      </c>
    </row>
    <row r="125" spans="1:6" ht="17.25" thickBot="1">
      <c r="A125" s="50"/>
      <c r="B125" s="51"/>
      <c r="C125" s="52"/>
      <c r="D125" s="53"/>
    </row>
    <row r="126" spans="1:6" ht="39" thickBot="1">
      <c r="A126" s="54" t="s">
        <v>15</v>
      </c>
      <c r="B126" s="55" t="s">
        <v>16</v>
      </c>
      <c r="C126" s="55" t="s">
        <v>17</v>
      </c>
      <c r="D126" s="56" t="s">
        <v>18</v>
      </c>
      <c r="F126" s="69" t="s">
        <v>81</v>
      </c>
    </row>
    <row r="127" spans="1:6" ht="15.75">
      <c r="A127" s="15" t="s">
        <v>66</v>
      </c>
      <c r="B127" s="16"/>
      <c r="C127" s="17"/>
      <c r="D127" s="18"/>
      <c r="F127" s="70"/>
    </row>
    <row r="128" spans="1:6" ht="15.75">
      <c r="A128" s="19">
        <f>A122-A144</f>
        <v>4238512</v>
      </c>
      <c r="B128" s="20">
        <v>0.05</v>
      </c>
      <c r="C128" s="21">
        <f>(A128*B128)/365*90</f>
        <v>52255.627397260272</v>
      </c>
      <c r="D128" s="22">
        <f>C128+A144</f>
        <v>1111883.6273972602</v>
      </c>
      <c r="F128" s="71">
        <f>$A$144</f>
        <v>1059628</v>
      </c>
    </row>
    <row r="129" spans="1:6" ht="15.75">
      <c r="A129" s="19" t="s">
        <v>67</v>
      </c>
      <c r="B129" s="20"/>
      <c r="C129" s="21"/>
      <c r="D129" s="22"/>
      <c r="F129" s="71"/>
    </row>
    <row r="130" spans="1:6" ht="15.75">
      <c r="A130" s="19">
        <f>A128-A144</f>
        <v>3178884</v>
      </c>
      <c r="B130" s="20">
        <v>0.05</v>
      </c>
      <c r="C130" s="21">
        <f>(A130*B130)/365*90</f>
        <v>39191.72054794521</v>
      </c>
      <c r="D130" s="22">
        <f>C130+A144</f>
        <v>1098819.7205479452</v>
      </c>
      <c r="F130" s="71">
        <f>$A$144</f>
        <v>1059628</v>
      </c>
    </row>
    <row r="131" spans="1:6" ht="15.75">
      <c r="A131" s="19" t="s">
        <v>68</v>
      </c>
      <c r="B131" s="20"/>
      <c r="C131" s="21"/>
      <c r="D131" s="22"/>
      <c r="F131" s="71"/>
    </row>
    <row r="132" spans="1:6" ht="15.75">
      <c r="A132" s="19">
        <f>A130-A144</f>
        <v>2119256</v>
      </c>
      <c r="B132" s="20">
        <v>0.05</v>
      </c>
      <c r="C132" s="21">
        <f>(A132*B132)/365*90</f>
        <v>26127.813698630136</v>
      </c>
      <c r="D132" s="22">
        <f>C132+A144</f>
        <v>1085755.8136986301</v>
      </c>
      <c r="F132" s="71">
        <f>$A$144</f>
        <v>1059628</v>
      </c>
    </row>
    <row r="133" spans="1:6" ht="15.75">
      <c r="A133" s="19" t="s">
        <v>69</v>
      </c>
      <c r="B133" s="20"/>
      <c r="C133" s="21"/>
      <c r="D133" s="22"/>
      <c r="F133" s="71"/>
    </row>
    <row r="134" spans="1:6" ht="16.5" thickBot="1">
      <c r="A134" s="19">
        <f>A132-A144</f>
        <v>1059628</v>
      </c>
      <c r="B134" s="20">
        <v>0.05</v>
      </c>
      <c r="C134" s="23">
        <f>(A134*B134)/365*90</f>
        <v>13063.906849315068</v>
      </c>
      <c r="D134" s="22">
        <f>C134+A144</f>
        <v>1072691.9068493152</v>
      </c>
      <c r="F134" s="71">
        <f>$A$144</f>
        <v>1059628</v>
      </c>
    </row>
    <row r="135" spans="1:6" ht="15.75">
      <c r="A135" s="24"/>
      <c r="B135" s="25" t="s">
        <v>23</v>
      </c>
      <c r="C135" s="26">
        <f>SUM(C128:C134)</f>
        <v>130639.0684931507</v>
      </c>
      <c r="D135" s="27"/>
      <c r="F135" s="72"/>
    </row>
    <row r="136" spans="1:6" ht="33.75" thickBot="1">
      <c r="A136" s="32"/>
      <c r="B136" s="33"/>
      <c r="C136" s="34" t="s">
        <v>70</v>
      </c>
      <c r="D136" s="35">
        <f>SUM(D128:D134)</f>
        <v>4369151.0684931511</v>
      </c>
      <c r="F136" s="74">
        <f>SUM(F128:F134)</f>
        <v>4238512</v>
      </c>
    </row>
    <row r="137" spans="1:6" ht="16.5">
      <c r="A137" s="50"/>
      <c r="B137" s="51"/>
      <c r="C137" s="52"/>
      <c r="D137" s="53"/>
    </row>
    <row r="138" spans="1:6" ht="18">
      <c r="A138" s="404" t="s">
        <v>71</v>
      </c>
      <c r="B138" s="404"/>
      <c r="C138" s="404"/>
      <c r="D138" s="80">
        <f>SUM(D140:D142)</f>
        <v>54454117.61457359</v>
      </c>
      <c r="F138" s="78">
        <f>SUM(F16,F28,F40,F52,F64,F76,F88,F100,F112,F124,F136)</f>
        <v>42385124.960000001</v>
      </c>
    </row>
    <row r="139" spans="1:6" ht="16.5">
      <c r="A139" s="405" t="s">
        <v>72</v>
      </c>
      <c r="B139" s="405"/>
      <c r="C139" s="405"/>
      <c r="D139" s="58"/>
    </row>
    <row r="140" spans="1:6">
      <c r="A140" s="401" t="s">
        <v>73</v>
      </c>
      <c r="B140" s="401"/>
      <c r="C140" s="401"/>
      <c r="D140" s="59">
        <f>A144*39+F20</f>
        <v>42385124.960000001</v>
      </c>
    </row>
    <row r="141" spans="1:6">
      <c r="A141" s="401" t="s">
        <v>74</v>
      </c>
      <c r="B141" s="401"/>
      <c r="C141" s="401"/>
      <c r="D141" s="59">
        <f>SUM(C14,C27,C39,C51,C63,C75,C87,C99,C111,C123,C135)</f>
        <v>12030846.04210959</v>
      </c>
    </row>
    <row r="142" spans="1:6">
      <c r="A142" s="401" t="s">
        <v>75</v>
      </c>
      <c r="B142" s="401"/>
      <c r="C142" s="401"/>
      <c r="D142" s="59">
        <f>C15</f>
        <v>38146.612463999998</v>
      </c>
    </row>
    <row r="143" spans="1:6">
      <c r="A143" s="60" t="s">
        <v>76</v>
      </c>
      <c r="B143" s="134">
        <v>39</v>
      </c>
    </row>
    <row r="144" spans="1:6" ht="15.75">
      <c r="A144" s="81">
        <f>42385120/40</f>
        <v>1059628</v>
      </c>
      <c r="C144" s="396" t="s">
        <v>87</v>
      </c>
      <c r="D144" s="396"/>
    </row>
    <row r="145" spans="4:4">
      <c r="D145" s="82">
        <f>SUM(D141:D142)</f>
        <v>12068992.65457359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35" top="0.34" bottom="0.41" header="0.21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F145"/>
  <sheetViews>
    <sheetView topLeftCell="A7" zoomScale="85" zoomScaleNormal="85" workbookViewId="0">
      <selection activeCell="L41" sqref="L41"/>
    </sheetView>
  </sheetViews>
  <sheetFormatPr defaultRowHeight="14.25"/>
  <cols>
    <col min="1" max="1" width="19.5" customWidth="1"/>
    <col min="2" max="2" width="14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02" t="s">
        <v>159</v>
      </c>
      <c r="B2" s="402"/>
      <c r="C2" s="402"/>
      <c r="D2" s="402"/>
      <c r="E2" s="402"/>
      <c r="F2" s="402"/>
    </row>
    <row r="3" spans="1:6">
      <c r="A3" s="403" t="s">
        <v>89</v>
      </c>
      <c r="B3" s="403"/>
      <c r="C3" s="403"/>
      <c r="D3" s="403"/>
      <c r="F3" s="67" t="s">
        <v>80</v>
      </c>
    </row>
    <row r="4" spans="1:6" ht="15" thickBot="1">
      <c r="D4" s="11" t="s">
        <v>14</v>
      </c>
    </row>
    <row r="5" spans="1:6" ht="39" thickBot="1">
      <c r="A5" s="12" t="s">
        <v>15</v>
      </c>
      <c r="B5" s="13" t="s">
        <v>16</v>
      </c>
      <c r="C5" s="13" t="s">
        <v>17</v>
      </c>
      <c r="D5" s="14" t="s">
        <v>18</v>
      </c>
      <c r="F5" s="69" t="s">
        <v>81</v>
      </c>
    </row>
    <row r="6" spans="1:6" ht="15.75">
      <c r="A6" s="15" t="s">
        <v>19</v>
      </c>
      <c r="B6" s="16"/>
      <c r="C6" s="17"/>
      <c r="D6" s="18"/>
      <c r="F6" s="70"/>
    </row>
    <row r="7" spans="1:6" ht="15.75">
      <c r="A7" s="19"/>
      <c r="B7" s="20">
        <v>0</v>
      </c>
      <c r="C7" s="21">
        <f>(A7*B7)/365*90</f>
        <v>0</v>
      </c>
      <c r="D7" s="22">
        <v>0</v>
      </c>
      <c r="F7" s="71">
        <v>0</v>
      </c>
    </row>
    <row r="8" spans="1:6" ht="15.75">
      <c r="A8" s="19" t="s">
        <v>20</v>
      </c>
      <c r="B8" s="20"/>
      <c r="C8" s="21"/>
      <c r="D8" s="22"/>
      <c r="F8" s="71"/>
    </row>
    <row r="9" spans="1:6" ht="15.75">
      <c r="A9" s="19"/>
      <c r="B9" s="20">
        <v>0</v>
      </c>
      <c r="C9" s="21">
        <f>(A9*B9)/365*90</f>
        <v>0</v>
      </c>
      <c r="D9" s="22">
        <v>0</v>
      </c>
      <c r="F9" s="71">
        <v>0</v>
      </c>
    </row>
    <row r="10" spans="1:6" ht="15.75">
      <c r="A10" s="19" t="s">
        <v>21</v>
      </c>
      <c r="B10" s="20"/>
      <c r="C10" s="21"/>
      <c r="D10" s="22"/>
      <c r="F10" s="71"/>
    </row>
    <row r="11" spans="1:6" ht="15.75">
      <c r="A11" s="19"/>
      <c r="B11" s="20">
        <v>0</v>
      </c>
      <c r="C11" s="21">
        <f>(A11*B11)/365*90</f>
        <v>0</v>
      </c>
      <c r="D11" s="22">
        <v>0</v>
      </c>
      <c r="F11" s="71">
        <v>0</v>
      </c>
    </row>
    <row r="12" spans="1:6" ht="15.75">
      <c r="A12" s="19" t="s">
        <v>22</v>
      </c>
      <c r="B12" s="20"/>
      <c r="C12" s="21"/>
      <c r="D12" s="22"/>
      <c r="F12" s="71"/>
    </row>
    <row r="13" spans="1:6" ht="16.5" thickBot="1">
      <c r="A13" s="19">
        <f>'Zestawienie kredytów'!F11+'Zestawienie kredytów'!F13+'Zestawienie kredytów'!F14+'Zestawienie kredytów'!F15+'Zestawienie kredytów'!F16+'Zestawienie kredytów'!F18</f>
        <v>11322562.66</v>
      </c>
      <c r="B13" s="20">
        <v>0</v>
      </c>
      <c r="C13" s="23">
        <f>(A13*B13)/365*90</f>
        <v>0</v>
      </c>
      <c r="D13" s="22">
        <f>C13</f>
        <v>0</v>
      </c>
      <c r="F13" s="71">
        <v>0</v>
      </c>
    </row>
    <row r="14" spans="1:6" ht="15.75">
      <c r="A14" s="24"/>
      <c r="B14" s="25" t="s">
        <v>23</v>
      </c>
      <c r="C14" s="26">
        <f>SUM(C7:C13)</f>
        <v>0</v>
      </c>
      <c r="D14" s="27"/>
      <c r="F14" s="72"/>
    </row>
    <row r="15" spans="1:6" ht="15.75">
      <c r="A15" s="28"/>
      <c r="B15" s="83" t="s">
        <v>24</v>
      </c>
      <c r="C15" s="30">
        <f>0.09%*A13</f>
        <v>10190.306393999999</v>
      </c>
      <c r="D15" s="31"/>
      <c r="F15" s="73"/>
    </row>
    <row r="16" spans="1:6" ht="33.75" thickBot="1">
      <c r="A16" s="32"/>
      <c r="B16" s="33"/>
      <c r="C16" s="34" t="s">
        <v>25</v>
      </c>
      <c r="D16" s="35">
        <f>SUM(D7:D13)+C15</f>
        <v>10190.306393999999</v>
      </c>
      <c r="F16" s="74">
        <f>SUM(F7:F13)+E15</f>
        <v>0</v>
      </c>
    </row>
    <row r="17" spans="1:6" ht="15" thickBot="1">
      <c r="A17" s="36"/>
      <c r="B17" s="36"/>
      <c r="C17" s="36"/>
      <c r="D17" s="36"/>
      <c r="F17" s="77"/>
    </row>
    <row r="18" spans="1:6" ht="39" thickBot="1">
      <c r="A18" s="12" t="s">
        <v>15</v>
      </c>
      <c r="B18" s="13" t="s">
        <v>16</v>
      </c>
      <c r="C18" s="13" t="s">
        <v>17</v>
      </c>
      <c r="D18" s="14" t="s">
        <v>18</v>
      </c>
      <c r="F18" s="69" t="s">
        <v>18</v>
      </c>
    </row>
    <row r="19" spans="1:6" ht="15.75">
      <c r="A19" s="15" t="s">
        <v>83</v>
      </c>
      <c r="B19" s="16"/>
      <c r="C19" s="17"/>
      <c r="D19" s="18"/>
      <c r="F19" s="70"/>
    </row>
    <row r="20" spans="1:6" ht="15.75">
      <c r="A20" s="19">
        <f>A13</f>
        <v>11322562.66</v>
      </c>
      <c r="B20" s="20">
        <v>5.5E-2</v>
      </c>
      <c r="C20" s="137">
        <v>158381.22</v>
      </c>
      <c r="D20" s="22">
        <f>C20+A144</f>
        <v>441445.22</v>
      </c>
      <c r="F20" s="71">
        <f>$A$144</f>
        <v>283064</v>
      </c>
    </row>
    <row r="21" spans="1:6" ht="15.75">
      <c r="A21" s="19" t="s">
        <v>84</v>
      </c>
      <c r="B21" s="20"/>
      <c r="C21" s="21"/>
      <c r="D21" s="22"/>
      <c r="F21" s="71"/>
    </row>
    <row r="22" spans="1:6" ht="15.75">
      <c r="A22" s="19">
        <f>A20-F20</f>
        <v>11039498.66</v>
      </c>
      <c r="B22" s="20">
        <v>5.5E-2</v>
      </c>
      <c r="C22" s="21">
        <f>(A22*B22)/365*90</f>
        <v>149713.74895068494</v>
      </c>
      <c r="D22" s="22">
        <f>C22+A144</f>
        <v>432777.74895068491</v>
      </c>
      <c r="F22" s="71">
        <f>$A$144</f>
        <v>283064</v>
      </c>
    </row>
    <row r="23" spans="1:6" ht="15.75">
      <c r="A23" s="19" t="s">
        <v>85</v>
      </c>
      <c r="B23" s="20"/>
      <c r="C23" s="21"/>
      <c r="D23" s="22"/>
      <c r="F23" s="71"/>
    </row>
    <row r="24" spans="1:6" ht="15.75">
      <c r="A24" s="19">
        <f>A22-A144</f>
        <v>10756434.66</v>
      </c>
      <c r="B24" s="20">
        <v>5.5E-2</v>
      </c>
      <c r="C24" s="21">
        <f>(A24*B24)/365*90</f>
        <v>145874.93580000001</v>
      </c>
      <c r="D24" s="22">
        <f>C24+A144</f>
        <v>428938.93579999998</v>
      </c>
      <c r="F24" s="71">
        <f>$A$144</f>
        <v>283064</v>
      </c>
    </row>
    <row r="25" spans="1:6" ht="15.75">
      <c r="A25" s="19" t="s">
        <v>86</v>
      </c>
      <c r="B25" s="20"/>
      <c r="C25" s="21"/>
      <c r="D25" s="22"/>
      <c r="F25" s="71"/>
    </row>
    <row r="26" spans="1:6" ht="16.5" thickBot="1">
      <c r="A26" s="19">
        <f>A24-A144</f>
        <v>10473370.66</v>
      </c>
      <c r="B26" s="20">
        <v>0.06</v>
      </c>
      <c r="C26" s="23">
        <f>(A26*B26)/365*90</f>
        <v>154948.49743561642</v>
      </c>
      <c r="D26" s="22">
        <f>C26+A144</f>
        <v>438012.49743561645</v>
      </c>
      <c r="F26" s="71">
        <f>$A$144</f>
        <v>283064</v>
      </c>
    </row>
    <row r="27" spans="1:6" ht="15.75">
      <c r="A27" s="24"/>
      <c r="B27" s="25" t="s">
        <v>23</v>
      </c>
      <c r="C27" s="26">
        <f>SUM(C20:C26)</f>
        <v>608918.40218630142</v>
      </c>
      <c r="D27" s="27"/>
      <c r="F27" s="72"/>
    </row>
    <row r="28" spans="1:6" ht="33.75" thickBot="1">
      <c r="A28" s="32"/>
      <c r="B28" s="33"/>
      <c r="C28" s="34" t="s">
        <v>82</v>
      </c>
      <c r="D28" s="35">
        <f>SUM(D20:D26)</f>
        <v>1741174.4021863011</v>
      </c>
      <c r="F28" s="74">
        <f>SUM(F20:F26)</f>
        <v>1132256</v>
      </c>
    </row>
    <row r="29" spans="1:6" ht="15" thickBot="1">
      <c r="A29" s="36"/>
      <c r="B29" s="37"/>
      <c r="C29" s="38"/>
      <c r="D29" s="36"/>
      <c r="F29" s="75"/>
    </row>
    <row r="30" spans="1:6" ht="39" thickBot="1">
      <c r="A30" s="12" t="s">
        <v>15</v>
      </c>
      <c r="B30" s="13" t="s">
        <v>16</v>
      </c>
      <c r="C30" s="13" t="s">
        <v>17</v>
      </c>
      <c r="D30" s="14" t="s">
        <v>18</v>
      </c>
      <c r="F30" s="69" t="s">
        <v>81</v>
      </c>
    </row>
    <row r="31" spans="1:6" ht="15.75">
      <c r="A31" s="15" t="s">
        <v>26</v>
      </c>
      <c r="B31" s="16"/>
      <c r="C31" s="17"/>
      <c r="D31" s="18"/>
      <c r="F31" s="70"/>
    </row>
    <row r="32" spans="1:6" ht="15.75">
      <c r="A32" s="19">
        <f>A26-A144</f>
        <v>10190306.66</v>
      </c>
      <c r="B32" s="20">
        <v>5.8999999999999997E-2</v>
      </c>
      <c r="C32" s="21">
        <f>(A32*B32)/365*90</f>
        <v>148248.02291671233</v>
      </c>
      <c r="D32" s="22">
        <f>C32+A144</f>
        <v>431312.02291671233</v>
      </c>
      <c r="F32" s="71">
        <f>$A$144</f>
        <v>283064</v>
      </c>
    </row>
    <row r="33" spans="1:6" ht="15.75">
      <c r="A33" s="19" t="s">
        <v>27</v>
      </c>
      <c r="B33" s="20"/>
      <c r="C33" s="21"/>
      <c r="D33" s="22"/>
      <c r="F33" s="71"/>
    </row>
    <row r="34" spans="1:6" ht="15.75">
      <c r="A34" s="19">
        <f>A32-A144</f>
        <v>9907242.6600000001</v>
      </c>
      <c r="B34" s="20">
        <v>5.8999999999999997E-2</v>
      </c>
      <c r="C34" s="21">
        <f>(A34*B34)/365*90</f>
        <v>144130.02335506846</v>
      </c>
      <c r="D34" s="22">
        <f>C34+A144</f>
        <v>427194.02335506846</v>
      </c>
      <c r="F34" s="71">
        <f>$A$144</f>
        <v>283064</v>
      </c>
    </row>
    <row r="35" spans="1:6" ht="15.75">
      <c r="A35" s="19" t="s">
        <v>28</v>
      </c>
      <c r="B35" s="20"/>
      <c r="C35" s="21"/>
      <c r="D35" s="22"/>
      <c r="F35" s="71"/>
    </row>
    <row r="36" spans="1:6" ht="15.75">
      <c r="A36" s="19">
        <f>A34-A144</f>
        <v>9624178.6600000001</v>
      </c>
      <c r="B36" s="20">
        <v>5.8999999999999997E-2</v>
      </c>
      <c r="C36" s="21">
        <f>(A36*B36)/365*90</f>
        <v>140012.02379342465</v>
      </c>
      <c r="D36" s="22">
        <f>C36+A144</f>
        <v>423076.02379342465</v>
      </c>
      <c r="F36" s="71">
        <f>$A$144</f>
        <v>283064</v>
      </c>
    </row>
    <row r="37" spans="1:6" ht="15.75">
      <c r="A37" s="19" t="s">
        <v>29</v>
      </c>
      <c r="B37" s="20"/>
      <c r="C37" s="21"/>
      <c r="D37" s="22"/>
      <c r="F37" s="71"/>
    </row>
    <row r="38" spans="1:6" ht="16.5" thickBot="1">
      <c r="A38" s="19">
        <f>A36-A144</f>
        <v>9341114.6600000001</v>
      </c>
      <c r="B38" s="20">
        <v>0.06</v>
      </c>
      <c r="C38" s="23">
        <f>(A38*B38)/365*90</f>
        <v>138197.31277808218</v>
      </c>
      <c r="D38" s="22">
        <f>C38+A144</f>
        <v>421261.31277808221</v>
      </c>
      <c r="F38" s="71">
        <f>$A$144</f>
        <v>283064</v>
      </c>
    </row>
    <row r="39" spans="1:6" ht="15.75">
      <c r="A39" s="24"/>
      <c r="B39" s="25" t="s">
        <v>23</v>
      </c>
      <c r="C39" s="26">
        <f>SUM(C32:C38)</f>
        <v>570587.38284328766</v>
      </c>
      <c r="D39" s="27"/>
      <c r="F39" s="72"/>
    </row>
    <row r="40" spans="1:6" ht="33.75" thickBot="1">
      <c r="A40" s="32"/>
      <c r="B40" s="33"/>
      <c r="C40" s="34" t="s">
        <v>30</v>
      </c>
      <c r="D40" s="35">
        <f>SUM(D32:D38)</f>
        <v>1702843.3828432877</v>
      </c>
      <c r="F40" s="74">
        <f>SUM(F32:F38)</f>
        <v>1132256</v>
      </c>
    </row>
    <row r="41" spans="1:6" ht="15" thickBot="1">
      <c r="A41" s="36"/>
      <c r="B41" s="37"/>
      <c r="C41" s="38"/>
      <c r="D41" s="36"/>
      <c r="F41" s="77"/>
    </row>
    <row r="42" spans="1:6" ht="39" thickBot="1">
      <c r="A42" s="12" t="s">
        <v>15</v>
      </c>
      <c r="B42" s="13" t="s">
        <v>16</v>
      </c>
      <c r="C42" s="13" t="s">
        <v>17</v>
      </c>
      <c r="D42" s="14" t="s">
        <v>18</v>
      </c>
      <c r="F42" s="69" t="s">
        <v>81</v>
      </c>
    </row>
    <row r="43" spans="1:6" ht="15.75">
      <c r="A43" s="15" t="s">
        <v>31</v>
      </c>
      <c r="B43" s="16"/>
      <c r="C43" s="17"/>
      <c r="D43" s="18"/>
      <c r="F43" s="70"/>
    </row>
    <row r="44" spans="1:6" ht="15.75">
      <c r="A44" s="19">
        <f>A38-A144</f>
        <v>9058050.6600000001</v>
      </c>
      <c r="B44" s="20">
        <v>5.5E-2</v>
      </c>
      <c r="C44" s="21">
        <f>(A44*B44)/365*90</f>
        <v>122842.05689589042</v>
      </c>
      <c r="D44" s="22">
        <f>C44+A144</f>
        <v>405906.05689589039</v>
      </c>
      <c r="F44" s="71">
        <f>$A$144</f>
        <v>283064</v>
      </c>
    </row>
    <row r="45" spans="1:6" ht="15.75">
      <c r="A45" s="19" t="s">
        <v>32</v>
      </c>
      <c r="B45" s="20"/>
      <c r="C45" s="21"/>
      <c r="D45" s="22"/>
      <c r="F45" s="71"/>
    </row>
    <row r="46" spans="1:6" ht="15.75">
      <c r="A46" s="19">
        <f>A44-A144</f>
        <v>8774986.6600000001</v>
      </c>
      <c r="B46" s="20">
        <v>5.5E-2</v>
      </c>
      <c r="C46" s="21">
        <f>(A46*B46)/365*90</f>
        <v>119003.24374520547</v>
      </c>
      <c r="D46" s="22">
        <f>C46+A144</f>
        <v>402067.24374520546</v>
      </c>
      <c r="F46" s="71">
        <f>$A$144</f>
        <v>283064</v>
      </c>
    </row>
    <row r="47" spans="1:6" ht="15.75">
      <c r="A47" s="19" t="s">
        <v>33</v>
      </c>
      <c r="B47" s="20"/>
      <c r="C47" s="21"/>
      <c r="D47" s="22"/>
      <c r="F47" s="71"/>
    </row>
    <row r="48" spans="1:6" ht="15.75">
      <c r="A48" s="19">
        <f>A46-A144</f>
        <v>8491922.6600000001</v>
      </c>
      <c r="B48" s="20">
        <v>5.5E-2</v>
      </c>
      <c r="C48" s="21">
        <f>(A48*B48)/365*90</f>
        <v>115164.43059452054</v>
      </c>
      <c r="D48" s="22">
        <f>C48+A144</f>
        <v>398228.43059452053</v>
      </c>
      <c r="F48" s="71">
        <f>$A$144</f>
        <v>283064</v>
      </c>
    </row>
    <row r="49" spans="1:6" ht="15.75">
      <c r="A49" s="19" t="s">
        <v>34</v>
      </c>
      <c r="B49" s="20"/>
      <c r="C49" s="21"/>
      <c r="D49" s="22"/>
      <c r="F49" s="71"/>
    </row>
    <row r="50" spans="1:6" ht="16.5" thickBot="1">
      <c r="A50" s="19">
        <f>A48-A144</f>
        <v>8208858.6600000001</v>
      </c>
      <c r="B50" s="20">
        <v>5.5E-2</v>
      </c>
      <c r="C50" s="23">
        <f>(A50*B50)/365*90</f>
        <v>111325.61744383562</v>
      </c>
      <c r="D50" s="22">
        <f>C50+A144</f>
        <v>394389.6174438356</v>
      </c>
      <c r="F50" s="71">
        <f>$A$144</f>
        <v>283064</v>
      </c>
    </row>
    <row r="51" spans="1:6" ht="15.75">
      <c r="A51" s="24"/>
      <c r="B51" s="25" t="s">
        <v>23</v>
      </c>
      <c r="C51" s="26">
        <f>SUM(C44:C50)</f>
        <v>468335.34867945209</v>
      </c>
      <c r="D51" s="27"/>
      <c r="F51" s="72"/>
    </row>
    <row r="52" spans="1:6" ht="33.75" thickBot="1">
      <c r="A52" s="39"/>
      <c r="B52" s="40"/>
      <c r="C52" s="41" t="s">
        <v>35</v>
      </c>
      <c r="D52" s="42">
        <f>SUM(D44:D50)</f>
        <v>1600591.348679452</v>
      </c>
      <c r="F52" s="76">
        <f>SUM(F44:F50)</f>
        <v>1132256</v>
      </c>
    </row>
    <row r="53" spans="1:6" ht="17.25" thickBot="1">
      <c r="A53" s="43"/>
      <c r="B53" s="44"/>
      <c r="C53" s="45"/>
      <c r="D53" s="46"/>
      <c r="F53" s="46"/>
    </row>
    <row r="54" spans="1:6" ht="39" thickBot="1">
      <c r="A54" s="47" t="s">
        <v>15</v>
      </c>
      <c r="B54" s="48" t="s">
        <v>16</v>
      </c>
      <c r="C54" s="48" t="s">
        <v>17</v>
      </c>
      <c r="D54" s="49" t="s">
        <v>18</v>
      </c>
      <c r="F54" s="69" t="s">
        <v>81</v>
      </c>
    </row>
    <row r="55" spans="1:6" ht="15.75">
      <c r="A55" s="15" t="s">
        <v>36</v>
      </c>
      <c r="B55" s="16"/>
      <c r="C55" s="17"/>
      <c r="D55" s="18"/>
      <c r="F55" s="70"/>
    </row>
    <row r="56" spans="1:6" ht="15.75">
      <c r="A56" s="19">
        <f>A50-A144</f>
        <v>7925794.6600000001</v>
      </c>
      <c r="B56" s="20">
        <v>5.5E-2</v>
      </c>
      <c r="C56" s="21">
        <f>(A56*B56)/365*90</f>
        <v>107486.80429315068</v>
      </c>
      <c r="D56" s="22">
        <f>C56+A144</f>
        <v>390550.80429315066</v>
      </c>
      <c r="F56" s="71">
        <f>$A$144</f>
        <v>283064</v>
      </c>
    </row>
    <row r="57" spans="1:6" ht="15.75">
      <c r="A57" s="19" t="s">
        <v>37</v>
      </c>
      <c r="B57" s="20"/>
      <c r="C57" s="21"/>
      <c r="D57" s="22"/>
      <c r="F57" s="71"/>
    </row>
    <row r="58" spans="1:6" ht="15.75">
      <c r="A58" s="19">
        <f>A56-A144</f>
        <v>7642730.6600000001</v>
      </c>
      <c r="B58" s="20">
        <v>5.5E-2</v>
      </c>
      <c r="C58" s="21">
        <f>(A58*B58)/365*90</f>
        <v>103647.99114246575</v>
      </c>
      <c r="D58" s="22">
        <f>C58+A144</f>
        <v>386711.99114246573</v>
      </c>
      <c r="F58" s="71">
        <f>$A$144</f>
        <v>283064</v>
      </c>
    </row>
    <row r="59" spans="1:6" ht="15.75">
      <c r="A59" s="19" t="s">
        <v>38</v>
      </c>
      <c r="B59" s="20"/>
      <c r="C59" s="21"/>
      <c r="D59" s="22"/>
      <c r="F59" s="71"/>
    </row>
    <row r="60" spans="1:6" ht="15.75">
      <c r="A60" s="19">
        <f>A58-A144</f>
        <v>7359666.6600000001</v>
      </c>
      <c r="B60" s="20">
        <v>5.5E-2</v>
      </c>
      <c r="C60" s="21">
        <f>(A60*B60)/365*90</f>
        <v>99809.177991780816</v>
      </c>
      <c r="D60" s="22">
        <f>C60+A144</f>
        <v>382873.1779917808</v>
      </c>
      <c r="F60" s="71">
        <f>$A$144</f>
        <v>283064</v>
      </c>
    </row>
    <row r="61" spans="1:6" ht="15.75">
      <c r="A61" s="19" t="s">
        <v>39</v>
      </c>
      <c r="B61" s="20"/>
      <c r="C61" s="21"/>
      <c r="D61" s="22"/>
      <c r="F61" s="71"/>
    </row>
    <row r="62" spans="1:6" ht="16.5" thickBot="1">
      <c r="A62" s="19">
        <f>A60-A144</f>
        <v>7076602.6600000001</v>
      </c>
      <c r="B62" s="20">
        <v>0.06</v>
      </c>
      <c r="C62" s="23">
        <f>(A62*B62)/365*90</f>
        <v>104694.9434630137</v>
      </c>
      <c r="D62" s="22">
        <f>C62+A144</f>
        <v>387758.94346301368</v>
      </c>
      <c r="F62" s="71">
        <f>$A$144</f>
        <v>283064</v>
      </c>
    </row>
    <row r="63" spans="1:6" ht="15.75">
      <c r="A63" s="24"/>
      <c r="B63" s="25" t="s">
        <v>23</v>
      </c>
      <c r="C63" s="26">
        <f>SUM(C56:C62)</f>
        <v>415638.91689041094</v>
      </c>
      <c r="D63" s="27"/>
      <c r="F63" s="72"/>
    </row>
    <row r="64" spans="1:6" ht="33.75" thickBot="1">
      <c r="A64" s="32"/>
      <c r="B64" s="33"/>
      <c r="C64" s="34" t="s">
        <v>40</v>
      </c>
      <c r="D64" s="35">
        <f>SUM(D56:D62)</f>
        <v>1547894.9168904109</v>
      </c>
      <c r="F64" s="74">
        <f>SUM(F56:F62)</f>
        <v>1132256</v>
      </c>
    </row>
    <row r="65" spans="1:6" ht="17.25" thickBot="1">
      <c r="A65" s="50"/>
      <c r="B65" s="51"/>
      <c r="C65" s="52"/>
      <c r="D65" s="53"/>
      <c r="F65" s="79"/>
    </row>
    <row r="66" spans="1:6" ht="39" thickBot="1">
      <c r="A66" s="54" t="s">
        <v>15</v>
      </c>
      <c r="B66" s="55" t="s">
        <v>16</v>
      </c>
      <c r="C66" s="55" t="s">
        <v>17</v>
      </c>
      <c r="D66" s="56" t="s">
        <v>18</v>
      </c>
      <c r="F66" s="69" t="s">
        <v>81</v>
      </c>
    </row>
    <row r="67" spans="1:6" ht="15.75">
      <c r="A67" s="15" t="s">
        <v>41</v>
      </c>
      <c r="B67" s="16"/>
      <c r="C67" s="17"/>
      <c r="D67" s="18"/>
      <c r="F67" s="70"/>
    </row>
    <row r="68" spans="1:6" ht="15.75">
      <c r="A68" s="19">
        <f>A62-A144</f>
        <v>6793538.6600000001</v>
      </c>
      <c r="B68" s="20">
        <v>0.05</v>
      </c>
      <c r="C68" s="21">
        <f>(A68*B68)/365*90</f>
        <v>83755.956082191784</v>
      </c>
      <c r="D68" s="22">
        <f>C68+A144</f>
        <v>366819.95608219178</v>
      </c>
      <c r="F68" s="71">
        <f>$A$144</f>
        <v>283064</v>
      </c>
    </row>
    <row r="69" spans="1:6" ht="15.75">
      <c r="A69" s="19" t="s">
        <v>42</v>
      </c>
      <c r="B69" s="20"/>
      <c r="C69" s="21"/>
      <c r="D69" s="22"/>
      <c r="F69" s="71"/>
    </row>
    <row r="70" spans="1:6" ht="15.75">
      <c r="A70" s="19">
        <f>A68-A144</f>
        <v>6510474.6600000001</v>
      </c>
      <c r="B70" s="20">
        <v>0.05</v>
      </c>
      <c r="C70" s="21">
        <f>(A70*B70)/365*90</f>
        <v>80266.12594520548</v>
      </c>
      <c r="D70" s="22">
        <f>C70+A144</f>
        <v>363330.12594520545</v>
      </c>
      <c r="F70" s="71">
        <f>$A$144</f>
        <v>283064</v>
      </c>
    </row>
    <row r="71" spans="1:6" ht="15.75">
      <c r="A71" s="19" t="s">
        <v>43</v>
      </c>
      <c r="B71" s="20"/>
      <c r="C71" s="21"/>
      <c r="D71" s="22"/>
      <c r="F71" s="71"/>
    </row>
    <row r="72" spans="1:6" ht="15.75">
      <c r="A72" s="19">
        <f>A70-A144</f>
        <v>6227410.6600000001</v>
      </c>
      <c r="B72" s="20">
        <v>0.05</v>
      </c>
      <c r="C72" s="21">
        <f>(A72*B72)/365*90</f>
        <v>76776.295808219176</v>
      </c>
      <c r="D72" s="22">
        <f>C72+A144</f>
        <v>359840.29580821918</v>
      </c>
      <c r="F72" s="71">
        <f>$A$144</f>
        <v>283064</v>
      </c>
    </row>
    <row r="73" spans="1:6" ht="15.75">
      <c r="A73" s="19" t="s">
        <v>44</v>
      </c>
      <c r="B73" s="20"/>
      <c r="C73" s="21"/>
      <c r="D73" s="22"/>
      <c r="F73" s="71"/>
    </row>
    <row r="74" spans="1:6" ht="16.5" thickBot="1">
      <c r="A74" s="19">
        <f>A72-A144</f>
        <v>5944346.6600000001</v>
      </c>
      <c r="B74" s="20">
        <v>0.05</v>
      </c>
      <c r="C74" s="23">
        <f>(A74*B74)/365*90</f>
        <v>73286.465671232887</v>
      </c>
      <c r="D74" s="22">
        <f>C74+A144</f>
        <v>356350.4656712329</v>
      </c>
      <c r="F74" s="71">
        <f>$A$144</f>
        <v>283064</v>
      </c>
    </row>
    <row r="75" spans="1:6" ht="15.75">
      <c r="A75" s="24"/>
      <c r="B75" s="25" t="s">
        <v>23</v>
      </c>
      <c r="C75" s="26">
        <f>SUM(C68:C74)</f>
        <v>314084.84350684931</v>
      </c>
      <c r="D75" s="27"/>
      <c r="F75" s="72"/>
    </row>
    <row r="76" spans="1:6" ht="33.75" thickBot="1">
      <c r="A76" s="32"/>
      <c r="B76" s="33"/>
      <c r="C76" s="34" t="s">
        <v>45</v>
      </c>
      <c r="D76" s="35">
        <f>SUM(D68:D74)</f>
        <v>1446340.8435068494</v>
      </c>
      <c r="F76" s="74">
        <f>SUM(F68:F74)</f>
        <v>1132256</v>
      </c>
    </row>
    <row r="77" spans="1:6" ht="17.25" thickBot="1">
      <c r="A77" s="50"/>
      <c r="B77" s="51"/>
      <c r="C77" s="52"/>
      <c r="D77" s="53"/>
    </row>
    <row r="78" spans="1:6" ht="39" thickBot="1">
      <c r="A78" s="54" t="s">
        <v>15</v>
      </c>
      <c r="B78" s="55" t="s">
        <v>16</v>
      </c>
      <c r="C78" s="55" t="s">
        <v>17</v>
      </c>
      <c r="D78" s="56" t="s">
        <v>18</v>
      </c>
      <c r="F78" s="69" t="s">
        <v>81</v>
      </c>
    </row>
    <row r="79" spans="1:6" ht="15.75">
      <c r="A79" s="15" t="s">
        <v>46</v>
      </c>
      <c r="B79" s="16"/>
      <c r="C79" s="17"/>
      <c r="D79" s="18"/>
      <c r="F79" s="70"/>
    </row>
    <row r="80" spans="1:6" ht="15.75">
      <c r="A80" s="19">
        <f>A74-A144</f>
        <v>5661282.6600000001</v>
      </c>
      <c r="B80" s="20">
        <v>0.05</v>
      </c>
      <c r="C80" s="21">
        <f>(A80*B80)/365*90</f>
        <v>69796.635534246583</v>
      </c>
      <c r="D80" s="22">
        <f>C80+A144</f>
        <v>352860.63553424657</v>
      </c>
      <c r="F80" s="71">
        <f>$A$144</f>
        <v>283064</v>
      </c>
    </row>
    <row r="81" spans="1:6" ht="15.75">
      <c r="A81" s="19" t="s">
        <v>47</v>
      </c>
      <c r="B81" s="20"/>
      <c r="C81" s="21"/>
      <c r="D81" s="22"/>
      <c r="F81" s="71"/>
    </row>
    <row r="82" spans="1:6" ht="15.75">
      <c r="A82" s="19">
        <f>A80-A144</f>
        <v>5378218.6600000001</v>
      </c>
      <c r="B82" s="20">
        <v>0.05</v>
      </c>
      <c r="C82" s="21">
        <f>(A82*B82)/365*90</f>
        <v>66306.805397260279</v>
      </c>
      <c r="D82" s="22">
        <f>C82+A144</f>
        <v>349370.80539726029</v>
      </c>
      <c r="F82" s="71">
        <f>$A$144</f>
        <v>283064</v>
      </c>
    </row>
    <row r="83" spans="1:6" ht="15.75">
      <c r="A83" s="19" t="s">
        <v>48</v>
      </c>
      <c r="B83" s="20"/>
      <c r="C83" s="21"/>
      <c r="D83" s="22"/>
      <c r="F83" s="71"/>
    </row>
    <row r="84" spans="1:6" ht="15.75">
      <c r="A84" s="19">
        <f>A82-A144</f>
        <v>5095154.66</v>
      </c>
      <c r="B84" s="20">
        <v>0.05</v>
      </c>
      <c r="C84" s="21">
        <f>(A84*B84)/365*90</f>
        <v>62816.975260273975</v>
      </c>
      <c r="D84" s="22">
        <f>C84+A144</f>
        <v>345880.97526027396</v>
      </c>
      <c r="F84" s="71">
        <f>$A$144</f>
        <v>283064</v>
      </c>
    </row>
    <row r="85" spans="1:6" ht="15.75">
      <c r="A85" s="19" t="s">
        <v>49</v>
      </c>
      <c r="B85" s="20"/>
      <c r="C85" s="21"/>
      <c r="D85" s="22"/>
      <c r="F85" s="71"/>
    </row>
    <row r="86" spans="1:6" ht="16.5" thickBot="1">
      <c r="A86" s="19">
        <f>A84-A144</f>
        <v>4812090.66</v>
      </c>
      <c r="B86" s="20">
        <v>0.05</v>
      </c>
      <c r="C86" s="23">
        <f>(A86*B86)/365*90</f>
        <v>59327.145123287679</v>
      </c>
      <c r="D86" s="22">
        <f>C86+A144</f>
        <v>342391.14512328769</v>
      </c>
      <c r="F86" s="71">
        <f>$A$144</f>
        <v>283064</v>
      </c>
    </row>
    <row r="87" spans="1:6" ht="15.75">
      <c r="A87" s="24"/>
      <c r="B87" s="25" t="s">
        <v>23</v>
      </c>
      <c r="C87" s="26">
        <f>SUM(C80:C86)</f>
        <v>258247.56131506851</v>
      </c>
      <c r="D87" s="27"/>
      <c r="F87" s="72"/>
    </row>
    <row r="88" spans="1:6" ht="33.75" thickBot="1">
      <c r="A88" s="32"/>
      <c r="B88" s="33"/>
      <c r="C88" s="34" t="s">
        <v>50</v>
      </c>
      <c r="D88" s="35">
        <f>SUM(D80:D86)</f>
        <v>1390503.5613150685</v>
      </c>
      <c r="F88" s="74">
        <f>SUM(F80:F86)</f>
        <v>1132256</v>
      </c>
    </row>
    <row r="89" spans="1:6" ht="17.25" thickBot="1">
      <c r="A89" s="50"/>
      <c r="B89" s="51"/>
      <c r="C89" s="52"/>
      <c r="D89" s="53"/>
    </row>
    <row r="90" spans="1:6" ht="39" thickBot="1">
      <c r="A90" s="54" t="s">
        <v>15</v>
      </c>
      <c r="B90" s="55" t="s">
        <v>16</v>
      </c>
      <c r="C90" s="55" t="s">
        <v>17</v>
      </c>
      <c r="D90" s="56" t="s">
        <v>18</v>
      </c>
      <c r="F90" s="69" t="s">
        <v>81</v>
      </c>
    </row>
    <row r="91" spans="1:6" ht="15.75">
      <c r="A91" s="15" t="s">
        <v>51</v>
      </c>
      <c r="B91" s="16"/>
      <c r="C91" s="17"/>
      <c r="D91" s="18"/>
      <c r="F91" s="70"/>
    </row>
    <row r="92" spans="1:6" ht="15.75">
      <c r="A92" s="19">
        <f>A86-A144</f>
        <v>4529026.66</v>
      </c>
      <c r="B92" s="20">
        <v>0.05</v>
      </c>
      <c r="C92" s="21">
        <f>(A92*B92)/365*90</f>
        <v>55837.314986301375</v>
      </c>
      <c r="D92" s="22">
        <f>C92+A144</f>
        <v>338901.31498630135</v>
      </c>
      <c r="F92" s="71">
        <f>$A$144</f>
        <v>283064</v>
      </c>
    </row>
    <row r="93" spans="1:6" ht="15.75">
      <c r="A93" s="19" t="s">
        <v>52</v>
      </c>
      <c r="B93" s="20"/>
      <c r="C93" s="21"/>
      <c r="D93" s="22"/>
      <c r="F93" s="71"/>
    </row>
    <row r="94" spans="1:6" ht="15.75">
      <c r="A94" s="19">
        <f>A92-A144</f>
        <v>4245962.66</v>
      </c>
      <c r="B94" s="20">
        <v>0.05</v>
      </c>
      <c r="C94" s="21">
        <f>(A94*B94)/365*90</f>
        <v>52347.484849315071</v>
      </c>
      <c r="D94" s="22">
        <f>C94+A144</f>
        <v>335411.48484931508</v>
      </c>
      <c r="F94" s="71">
        <f>$A$144</f>
        <v>283064</v>
      </c>
    </row>
    <row r="95" spans="1:6" ht="15.75">
      <c r="A95" s="19" t="s">
        <v>53</v>
      </c>
      <c r="B95" s="20"/>
      <c r="C95" s="21"/>
      <c r="D95" s="22"/>
      <c r="F95" s="71"/>
    </row>
    <row r="96" spans="1:6" ht="15.75">
      <c r="A96" s="19">
        <f>A94-A144</f>
        <v>3962898.66</v>
      </c>
      <c r="B96" s="20">
        <v>0.05</v>
      </c>
      <c r="C96" s="21">
        <f>(A96*B96)/365*90</f>
        <v>48857.654712328767</v>
      </c>
      <c r="D96" s="22">
        <f>C96+A144</f>
        <v>331921.65471232875</v>
      </c>
      <c r="F96" s="71">
        <f>$A$144</f>
        <v>283064</v>
      </c>
    </row>
    <row r="97" spans="1:6" ht="15.75">
      <c r="A97" s="19" t="s">
        <v>54</v>
      </c>
      <c r="B97" s="20"/>
      <c r="C97" s="21"/>
      <c r="D97" s="22"/>
      <c r="F97" s="71"/>
    </row>
    <row r="98" spans="1:6" ht="16.5" thickBot="1">
      <c r="A98" s="19">
        <f>A96-A144</f>
        <v>3679834.66</v>
      </c>
      <c r="B98" s="20">
        <v>0.05</v>
      </c>
      <c r="C98" s="23">
        <f>(A98*B98)/365*90</f>
        <v>45367.824575342471</v>
      </c>
      <c r="D98" s="22">
        <f>C98+A144</f>
        <v>328431.82457534247</v>
      </c>
      <c r="F98" s="71">
        <f>$A$144</f>
        <v>283064</v>
      </c>
    </row>
    <row r="99" spans="1:6" ht="15.75">
      <c r="A99" s="24"/>
      <c r="B99" s="25" t="s">
        <v>23</v>
      </c>
      <c r="C99" s="26">
        <f>SUM(C92:C98)</f>
        <v>202410.27912328768</v>
      </c>
      <c r="D99" s="27"/>
      <c r="F99" s="72"/>
    </row>
    <row r="100" spans="1:6" ht="33.75" thickBot="1">
      <c r="A100" s="32"/>
      <c r="B100" s="33"/>
      <c r="C100" s="34" t="s">
        <v>55</v>
      </c>
      <c r="D100" s="35">
        <f>SUM(D92:D98)</f>
        <v>1334666.2791232876</v>
      </c>
      <c r="F100" s="74">
        <f>SUM(F92:F98)</f>
        <v>1132256</v>
      </c>
    </row>
    <row r="101" spans="1:6" ht="17.25" thickBot="1">
      <c r="A101" s="50"/>
      <c r="B101" s="51"/>
      <c r="C101" s="52"/>
      <c r="D101" s="53"/>
    </row>
    <row r="102" spans="1:6" ht="39" thickBot="1">
      <c r="A102" s="54" t="s">
        <v>15</v>
      </c>
      <c r="B102" s="55" t="s">
        <v>16</v>
      </c>
      <c r="C102" s="55" t="s">
        <v>17</v>
      </c>
      <c r="D102" s="56" t="s">
        <v>18</v>
      </c>
      <c r="F102" s="69" t="s">
        <v>81</v>
      </c>
    </row>
    <row r="103" spans="1:6" ht="15.75">
      <c r="A103" s="15" t="s">
        <v>56</v>
      </c>
      <c r="B103" s="16"/>
      <c r="C103" s="17"/>
      <c r="D103" s="18"/>
      <c r="F103" s="70"/>
    </row>
    <row r="104" spans="1:6" ht="15.75">
      <c r="A104" s="19">
        <f>A98-A144</f>
        <v>3396770.66</v>
      </c>
      <c r="B104" s="20">
        <v>0.05</v>
      </c>
      <c r="C104" s="21">
        <f>(A104*B104)/365*90</f>
        <v>41877.994438356167</v>
      </c>
      <c r="D104" s="22">
        <f>C104+A144</f>
        <v>324941.99443835614</v>
      </c>
      <c r="F104" s="71">
        <f>$A$144</f>
        <v>283064</v>
      </c>
    </row>
    <row r="105" spans="1:6" ht="15.75">
      <c r="A105" s="19" t="s">
        <v>57</v>
      </c>
      <c r="B105" s="20"/>
      <c r="C105" s="21"/>
      <c r="D105" s="22"/>
      <c r="F105" s="71"/>
    </row>
    <row r="106" spans="1:6" ht="15.75">
      <c r="A106" s="19">
        <f>A104-A144</f>
        <v>3113706.66</v>
      </c>
      <c r="B106" s="20">
        <v>0.05</v>
      </c>
      <c r="C106" s="21">
        <f>(A106*B106)/365*90</f>
        <v>38388.164301369863</v>
      </c>
      <c r="D106" s="22">
        <f>C106+A144</f>
        <v>321452.16430136986</v>
      </c>
      <c r="F106" s="71">
        <f>$A$144</f>
        <v>283064</v>
      </c>
    </row>
    <row r="107" spans="1:6" ht="15.75">
      <c r="A107" s="19" t="s">
        <v>58</v>
      </c>
      <c r="B107" s="20"/>
      <c r="C107" s="21"/>
      <c r="D107" s="22"/>
      <c r="F107" s="71"/>
    </row>
    <row r="108" spans="1:6" ht="15.75">
      <c r="A108" s="19">
        <f>A106-A144</f>
        <v>2830642.66</v>
      </c>
      <c r="B108" s="20">
        <v>0.05</v>
      </c>
      <c r="C108" s="21">
        <f>(A108*B108)/365*90</f>
        <v>34898.334164383559</v>
      </c>
      <c r="D108" s="22">
        <f>C108+A144</f>
        <v>317962.33416438359</v>
      </c>
      <c r="F108" s="71">
        <f>$A$144</f>
        <v>283064</v>
      </c>
    </row>
    <row r="109" spans="1:6" ht="15.75">
      <c r="A109" s="19" t="s">
        <v>59</v>
      </c>
      <c r="B109" s="20"/>
      <c r="C109" s="21"/>
      <c r="D109" s="22"/>
      <c r="F109" s="71"/>
    </row>
    <row r="110" spans="1:6" ht="16.5" thickBot="1">
      <c r="A110" s="19">
        <f>A108-A144</f>
        <v>2547578.66</v>
      </c>
      <c r="B110" s="20">
        <v>0.05</v>
      </c>
      <c r="C110" s="23">
        <f>(A110*B110)/365*90</f>
        <v>31408.504027397266</v>
      </c>
      <c r="D110" s="22">
        <f>C110+A144</f>
        <v>314472.50402739726</v>
      </c>
      <c r="F110" s="71">
        <f>$A$144</f>
        <v>283064</v>
      </c>
    </row>
    <row r="111" spans="1:6" ht="15.75">
      <c r="A111" s="24"/>
      <c r="B111" s="25" t="s">
        <v>23</v>
      </c>
      <c r="C111" s="26">
        <f>SUM(C104:C110)</f>
        <v>146572.99693150684</v>
      </c>
      <c r="D111" s="27"/>
      <c r="F111" s="72"/>
    </row>
    <row r="112" spans="1:6" ht="33.75" thickBot="1">
      <c r="A112" s="32"/>
      <c r="B112" s="33"/>
      <c r="C112" s="34" t="s">
        <v>60</v>
      </c>
      <c r="D112" s="35">
        <f>SUM(D104:D110)</f>
        <v>1278828.9969315068</v>
      </c>
      <c r="F112" s="74">
        <f>SUM(F104:F110)</f>
        <v>1132256</v>
      </c>
    </row>
    <row r="113" spans="1:6" ht="17.25" thickBot="1">
      <c r="A113" s="50"/>
      <c r="B113" s="51"/>
      <c r="C113" s="52"/>
      <c r="D113" s="53"/>
    </row>
    <row r="114" spans="1:6" ht="39" thickBot="1">
      <c r="A114" s="54" t="s">
        <v>15</v>
      </c>
      <c r="B114" s="55" t="s">
        <v>16</v>
      </c>
      <c r="C114" s="55" t="s">
        <v>17</v>
      </c>
      <c r="D114" s="56" t="s">
        <v>18</v>
      </c>
      <c r="F114" s="69" t="s">
        <v>81</v>
      </c>
    </row>
    <row r="115" spans="1:6" ht="15.75">
      <c r="A115" s="15" t="s">
        <v>61</v>
      </c>
      <c r="B115" s="16"/>
      <c r="C115" s="17"/>
      <c r="D115" s="18"/>
      <c r="F115" s="70"/>
    </row>
    <row r="116" spans="1:6" ht="15.75">
      <c r="A116" s="19">
        <f>A110-A144</f>
        <v>2264514.66</v>
      </c>
      <c r="B116" s="20">
        <v>0.05</v>
      </c>
      <c r="C116" s="21">
        <f>(A116*B116)/365*90</f>
        <v>27918.673890410962</v>
      </c>
      <c r="D116" s="22">
        <f>C116+A144</f>
        <v>310982.67389041098</v>
      </c>
      <c r="F116" s="71">
        <f>$A$144</f>
        <v>283064</v>
      </c>
    </row>
    <row r="117" spans="1:6" ht="15.75">
      <c r="A117" s="19" t="s">
        <v>62</v>
      </c>
      <c r="B117" s="20"/>
      <c r="C117" s="21"/>
      <c r="D117" s="22"/>
      <c r="F117" s="71"/>
    </row>
    <row r="118" spans="1:6" ht="15.75">
      <c r="A118" s="19">
        <f>A116-A144</f>
        <v>1981450.6600000001</v>
      </c>
      <c r="B118" s="20">
        <v>0.05</v>
      </c>
      <c r="C118" s="21">
        <f>(A118*B118)/365*90</f>
        <v>24428.843753424659</v>
      </c>
      <c r="D118" s="22">
        <f>C118+A144</f>
        <v>307492.84375342465</v>
      </c>
      <c r="F118" s="71">
        <f>$A$144</f>
        <v>283064</v>
      </c>
    </row>
    <row r="119" spans="1:6" ht="15.75">
      <c r="A119" s="19" t="s">
        <v>63</v>
      </c>
      <c r="B119" s="20"/>
      <c r="C119" s="21"/>
      <c r="D119" s="22"/>
      <c r="F119" s="71"/>
    </row>
    <row r="120" spans="1:6" ht="15.75">
      <c r="A120" s="19">
        <f>A118-A144</f>
        <v>1698386.6600000001</v>
      </c>
      <c r="B120" s="20">
        <v>0.05</v>
      </c>
      <c r="C120" s="21">
        <f>(A120*B120)/365*90</f>
        <v>20939.013616438358</v>
      </c>
      <c r="D120" s="22">
        <f>C120+A144</f>
        <v>304003.01361643837</v>
      </c>
      <c r="F120" s="71">
        <f>$A$144</f>
        <v>283064</v>
      </c>
    </row>
    <row r="121" spans="1:6" ht="15.75">
      <c r="A121" s="19" t="s">
        <v>64</v>
      </c>
      <c r="B121" s="20"/>
      <c r="C121" s="21"/>
      <c r="D121" s="22"/>
      <c r="F121" s="71"/>
    </row>
    <row r="122" spans="1:6" ht="16.5" thickBot="1">
      <c r="A122" s="19">
        <f>A120-A144</f>
        <v>1415322.6600000001</v>
      </c>
      <c r="B122" s="20">
        <v>0.05</v>
      </c>
      <c r="C122" s="23">
        <f>(A122*B122)/365*90</f>
        <v>17449.183479452058</v>
      </c>
      <c r="D122" s="22">
        <f>C122+A144</f>
        <v>300513.18347945204</v>
      </c>
      <c r="F122" s="71">
        <f>$A$144</f>
        <v>283064</v>
      </c>
    </row>
    <row r="123" spans="1:6" ht="15.75">
      <c r="A123" s="24"/>
      <c r="B123" s="25" t="s">
        <v>23</v>
      </c>
      <c r="C123" s="26">
        <f>SUM(C116:C122)</f>
        <v>90735.714739726027</v>
      </c>
      <c r="D123" s="27"/>
      <c r="F123" s="72"/>
    </row>
    <row r="124" spans="1:6" ht="33.75" thickBot="1">
      <c r="A124" s="32"/>
      <c r="B124" s="33"/>
      <c r="C124" s="34" t="s">
        <v>65</v>
      </c>
      <c r="D124" s="35">
        <f>SUM(D116:D122)</f>
        <v>1222991.7147397259</v>
      </c>
      <c r="F124" s="74">
        <f>SUM(F116:F122)</f>
        <v>1132256</v>
      </c>
    </row>
    <row r="125" spans="1:6" ht="17.25" thickBot="1">
      <c r="A125" s="50"/>
      <c r="B125" s="51"/>
      <c r="C125" s="52"/>
      <c r="D125" s="53"/>
    </row>
    <row r="126" spans="1:6" ht="39" thickBot="1">
      <c r="A126" s="54" t="s">
        <v>15</v>
      </c>
      <c r="B126" s="55" t="s">
        <v>16</v>
      </c>
      <c r="C126" s="55" t="s">
        <v>17</v>
      </c>
      <c r="D126" s="56" t="s">
        <v>18</v>
      </c>
      <c r="F126" s="69" t="s">
        <v>81</v>
      </c>
    </row>
    <row r="127" spans="1:6" ht="15.75">
      <c r="A127" s="15" t="s">
        <v>66</v>
      </c>
      <c r="B127" s="16"/>
      <c r="C127" s="17"/>
      <c r="D127" s="18"/>
      <c r="F127" s="70"/>
    </row>
    <row r="128" spans="1:6" ht="15.75">
      <c r="A128" s="19">
        <f>A122-A144</f>
        <v>1132258.6600000001</v>
      </c>
      <c r="B128" s="20">
        <v>0.05</v>
      </c>
      <c r="C128" s="21">
        <f>(A128*B128)/365*90</f>
        <v>13959.353342465754</v>
      </c>
      <c r="D128" s="22">
        <f>C128+A144</f>
        <v>297023.35334246577</v>
      </c>
      <c r="F128" s="71">
        <f>$A$144</f>
        <v>283064</v>
      </c>
    </row>
    <row r="129" spans="1:6" ht="15.75">
      <c r="A129" s="19" t="s">
        <v>67</v>
      </c>
      <c r="B129" s="20"/>
      <c r="C129" s="21"/>
      <c r="D129" s="22"/>
      <c r="F129" s="71"/>
    </row>
    <row r="130" spans="1:6" ht="15.75">
      <c r="A130" s="19">
        <f>A128-A144</f>
        <v>849194.66000000015</v>
      </c>
      <c r="B130" s="20">
        <v>0.05</v>
      </c>
      <c r="C130" s="21">
        <f>(A130*B130)/365*90</f>
        <v>10469.523205479454</v>
      </c>
      <c r="D130" s="22">
        <f>C130+A144</f>
        <v>293533.52320547943</v>
      </c>
      <c r="F130" s="71">
        <f>$A$144</f>
        <v>283064</v>
      </c>
    </row>
    <row r="131" spans="1:6" ht="15.75">
      <c r="A131" s="19" t="s">
        <v>68</v>
      </c>
      <c r="B131" s="20"/>
      <c r="C131" s="21"/>
      <c r="D131" s="22"/>
      <c r="F131" s="71"/>
    </row>
    <row r="132" spans="1:6" ht="15.75">
      <c r="A132" s="19">
        <f>A130-A144</f>
        <v>566130.66000000015</v>
      </c>
      <c r="B132" s="20">
        <v>0.05</v>
      </c>
      <c r="C132" s="21">
        <f>(A132*B132)/365*90</f>
        <v>6979.6930684931531</v>
      </c>
      <c r="D132" s="22">
        <f>C132+A144</f>
        <v>290043.69306849316</v>
      </c>
      <c r="F132" s="71">
        <f>$A$144</f>
        <v>283064</v>
      </c>
    </row>
    <row r="133" spans="1:6" ht="15.75">
      <c r="A133" s="19" t="s">
        <v>69</v>
      </c>
      <c r="B133" s="20"/>
      <c r="C133" s="21"/>
      <c r="D133" s="22"/>
      <c r="F133" s="71"/>
    </row>
    <row r="134" spans="1:6" ht="16.5" thickBot="1">
      <c r="A134" s="19">
        <f>A132-A144</f>
        <v>283066.66000000015</v>
      </c>
      <c r="B134" s="20">
        <v>0.05</v>
      </c>
      <c r="C134" s="23">
        <f>(A134*B134)/365*90</f>
        <v>3489.8629315068511</v>
      </c>
      <c r="D134" s="22">
        <f>C134+A144</f>
        <v>286553.86293150682</v>
      </c>
      <c r="F134" s="71">
        <v>283066.65999999997</v>
      </c>
    </row>
    <row r="135" spans="1:6" ht="15.75">
      <c r="A135" s="24"/>
      <c r="B135" s="25" t="s">
        <v>23</v>
      </c>
      <c r="C135" s="26">
        <f>SUM(C128:C134)</f>
        <v>34898.432547945216</v>
      </c>
      <c r="D135" s="27"/>
      <c r="F135" s="72"/>
    </row>
    <row r="136" spans="1:6" ht="33.75" thickBot="1">
      <c r="A136" s="32"/>
      <c r="B136" s="33"/>
      <c r="C136" s="34" t="s">
        <v>70</v>
      </c>
      <c r="D136" s="35">
        <f>SUM(D128:D134)</f>
        <v>1167154.4325479451</v>
      </c>
      <c r="F136" s="74">
        <f>SUM(F128:F134)</f>
        <v>1132258.6599999999</v>
      </c>
    </row>
    <row r="137" spans="1:6" ht="16.5">
      <c r="A137" s="50"/>
      <c r="B137" s="51"/>
      <c r="C137" s="52"/>
      <c r="D137" s="53"/>
    </row>
    <row r="138" spans="1:6" ht="18">
      <c r="A138" s="404" t="s">
        <v>71</v>
      </c>
      <c r="B138" s="404"/>
      <c r="C138" s="404"/>
      <c r="D138" s="80">
        <f>SUM(D140:D142)</f>
        <v>14443180.185157835</v>
      </c>
      <c r="F138" s="78">
        <f>SUM(F16,F28,F40,F52,F64,F76,F88,F100,F112,F124,F136)</f>
        <v>11322562.66</v>
      </c>
    </row>
    <row r="139" spans="1:6" ht="16.5">
      <c r="A139" s="405" t="s">
        <v>72</v>
      </c>
      <c r="B139" s="405"/>
      <c r="C139" s="405"/>
      <c r="D139" s="58"/>
    </row>
    <row r="140" spans="1:6">
      <c r="A140" s="401" t="s">
        <v>73</v>
      </c>
      <c r="B140" s="401"/>
      <c r="C140" s="401"/>
      <c r="D140" s="59">
        <f>A144*39+F20</f>
        <v>11322560</v>
      </c>
    </row>
    <row r="141" spans="1:6">
      <c r="A141" s="401" t="s">
        <v>74</v>
      </c>
      <c r="B141" s="401"/>
      <c r="C141" s="401"/>
      <c r="D141" s="59">
        <f>SUM(C14,C27,C39,C51,C63,C75,C87,C99,C111,C123,C135)</f>
        <v>3110429.8787638354</v>
      </c>
    </row>
    <row r="142" spans="1:6">
      <c r="A142" s="401" t="s">
        <v>75</v>
      </c>
      <c r="B142" s="401"/>
      <c r="C142" s="401"/>
      <c r="D142" s="59">
        <f>C15</f>
        <v>10190.306393999999</v>
      </c>
    </row>
    <row r="143" spans="1:6">
      <c r="A143" s="60" t="s">
        <v>76</v>
      </c>
      <c r="B143" s="134">
        <v>39</v>
      </c>
    </row>
    <row r="144" spans="1:6" ht="15.75">
      <c r="A144" s="81">
        <f>11322560/40</f>
        <v>283064</v>
      </c>
      <c r="C144" s="396" t="s">
        <v>87</v>
      </c>
      <c r="D144" s="396"/>
    </row>
    <row r="145" spans="4:4">
      <c r="D145" s="82">
        <f>SUM(D141:D142)</f>
        <v>3120620.1851578355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35" top="0.34" bottom="0.41" header="0.21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8</vt:i4>
      </vt:variant>
    </vt:vector>
  </HeadingPairs>
  <TitlesOfParts>
    <vt:vector size="22" baseType="lpstr">
      <vt:lpstr>WPF - nowy</vt:lpstr>
      <vt:lpstr>WPF</vt:lpstr>
      <vt:lpstr>DANE ZBIORCZE</vt:lpstr>
      <vt:lpstr>wielkości początkowe</vt:lpstr>
      <vt:lpstr>Koszty kredytów</vt:lpstr>
      <vt:lpstr>Kredyt - 40 mln</vt:lpstr>
      <vt:lpstr>Stadion</vt:lpstr>
      <vt:lpstr>Drogi</vt:lpstr>
      <vt:lpstr>Kultura, Akcje+Elfy</vt:lpstr>
      <vt:lpstr>KREDYTY 2011</vt:lpstr>
      <vt:lpstr>Kredyt 2012</vt:lpstr>
      <vt:lpstr>KREDYT 2013</vt:lpstr>
      <vt:lpstr>KREDYT 2014</vt:lpstr>
      <vt:lpstr>Zestawienie kredytów</vt:lpstr>
      <vt:lpstr>'DANE ZBIORCZE'!Obszar_wydruku</vt:lpstr>
      <vt:lpstr>'Kredyt - 40 mln'!Obszar_wydruku</vt:lpstr>
      <vt:lpstr>'Kredyt 2012'!Obszar_wydruku</vt:lpstr>
      <vt:lpstr>'KREDYTY 2011'!Obszar_wydruku</vt:lpstr>
      <vt:lpstr>WPF!Obszar_wydruku</vt:lpstr>
      <vt:lpstr>'Zestawienie kredytów'!Obszar_wydruku</vt:lpstr>
      <vt:lpstr>WPF!Tytuły_wydruku</vt:lpstr>
      <vt:lpstr>'WPF - nowy'!Tytuły_wydruku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SzymczykDamian</cp:lastModifiedBy>
  <cp:lastPrinted>2012-01-24T14:30:05Z</cp:lastPrinted>
  <dcterms:created xsi:type="dcterms:W3CDTF">2010-07-09T09:57:58Z</dcterms:created>
  <dcterms:modified xsi:type="dcterms:W3CDTF">2012-01-24T14:30:06Z</dcterms:modified>
</cp:coreProperties>
</file>