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200" windowHeight="12015" tabRatio="906"/>
  </bookViews>
  <sheets>
    <sheet name="WPF - nowy" sheetId="18" r:id="rId1"/>
    <sheet name="WPF" sheetId="13" state="hidden" r:id="rId2"/>
    <sheet name="DANE ZBIORCZE" sheetId="14" r:id="rId3"/>
    <sheet name="wielkości początkowe" sheetId="15" r:id="rId4"/>
    <sheet name="Koszty kredytów" sheetId="8" r:id="rId5"/>
    <sheet name="2009(40 mln)" sheetId="4" r:id="rId6"/>
    <sheet name="2010(Stadion)" sheetId="3" r:id="rId7"/>
    <sheet name="2010(Drogi)" sheetId="6" r:id="rId8"/>
    <sheet name="2010(Kultura, Akcje+Elfy)" sheetId="7" r:id="rId9"/>
    <sheet name="2011(90mln)" sheetId="2" r:id="rId10"/>
    <sheet name="2011(57mln)" sheetId="20" r:id="rId11"/>
    <sheet name="2011(18mln)" sheetId="21" r:id="rId12"/>
    <sheet name="2011(31mln)" sheetId="19" r:id="rId13"/>
    <sheet name="2012(Stadion)" sheetId="9" r:id="rId14"/>
    <sheet name="2012(Drogi)" sheetId="22" r:id="rId15"/>
    <sheet name="2012(KL)" sheetId="23" r:id="rId16"/>
    <sheet name="KREDYT 2013" sheetId="10" r:id="rId17"/>
    <sheet name="KREDYT 2014" sheetId="12" r:id="rId18"/>
    <sheet name="Zestawienie kredytów" sheetId="1" r:id="rId19"/>
    <sheet name="WPF - dochody wł + subwencja" sheetId="24" r:id="rId20"/>
  </sheets>
  <definedNames>
    <definedName name="_xlnm.Print_Area" localSheetId="5">'2009(40 mln)'!$A$1:$F$67</definedName>
    <definedName name="_xlnm.Print_Area" localSheetId="11">'2011(18mln)'!$A$1:$F$138</definedName>
    <definedName name="_xlnm.Print_Area" localSheetId="12">'2011(31mln)'!$A$1:$F$138</definedName>
    <definedName name="_xlnm.Print_Area" localSheetId="10">'2011(57mln)'!$A$1:$F$138</definedName>
    <definedName name="_xlnm.Print_Area" localSheetId="9">'2011(90mln)'!$A$1:$F$138</definedName>
    <definedName name="_xlnm.Print_Area" localSheetId="14">'2012(Drogi)'!$A$1:$F$126</definedName>
    <definedName name="_xlnm.Print_Area" localSheetId="15">'2012(KL)'!$A$1:$F$126</definedName>
    <definedName name="_xlnm.Print_Area" localSheetId="13">'2012(Stadion)'!$A$1:$F$126</definedName>
    <definedName name="_xlnm.Print_Area" localSheetId="2">'DANE ZBIORCZE'!$A$1:$L$66</definedName>
    <definedName name="_xlnm.Print_Area" localSheetId="1">WPF!$A$1:$M$62</definedName>
    <definedName name="_xlnm.Print_Area" localSheetId="18">'Zestawienie kredytów'!$A$1:$F$63</definedName>
    <definedName name="_xlnm.Print_Titles" localSheetId="1">WPF!$4:$4</definedName>
    <definedName name="_xlnm.Print_Titles" localSheetId="19">'WPF - dochody wł + subwencja'!$4:$4</definedName>
    <definedName name="_xlnm.Print_Titles" localSheetId="0">'WPF - nowy'!$4:$4</definedName>
  </definedNames>
  <calcPr calcId="125725"/>
</workbook>
</file>

<file path=xl/calcChain.xml><?xml version="1.0" encoding="utf-8"?>
<calcChain xmlns="http://schemas.openxmlformats.org/spreadsheetml/2006/main">
  <c r="D56" i="14"/>
  <c r="D55"/>
  <c r="D28"/>
  <c r="D34"/>
  <c r="F48" i="1"/>
  <c r="E48"/>
  <c r="D48"/>
  <c r="F56"/>
  <c r="E53"/>
  <c r="E40"/>
  <c r="F55"/>
  <c r="E39"/>
  <c r="E50"/>
  <c r="E38"/>
  <c r="F49" l="1"/>
  <c r="F51"/>
  <c r="E51"/>
  <c r="F20" i="9"/>
  <c r="D116"/>
  <c r="F54" i="1" l="1"/>
  <c r="E37"/>
  <c r="A52" i="8"/>
  <c r="E43" i="1" l="1"/>
  <c r="D50" i="4"/>
  <c r="F16" i="20"/>
  <c r="F16" i="21"/>
  <c r="D20" i="6"/>
  <c r="F134" i="7" l="1"/>
  <c r="F16"/>
  <c r="D140"/>
  <c r="F16" i="6"/>
  <c r="A22"/>
  <c r="F20"/>
  <c r="D140"/>
  <c r="F134" i="3"/>
  <c r="F16"/>
  <c r="D140"/>
  <c r="D36" i="1"/>
  <c r="F20" i="2"/>
  <c r="D128"/>
  <c r="F47" i="24"/>
  <c r="E47"/>
  <c r="M28"/>
  <c r="L28"/>
  <c r="K28"/>
  <c r="J28"/>
  <c r="I28"/>
  <c r="H28"/>
  <c r="G28"/>
  <c r="F28"/>
  <c r="E28"/>
  <c r="D28"/>
  <c r="M24"/>
  <c r="L24"/>
  <c r="K24"/>
  <c r="J24"/>
  <c r="I24"/>
  <c r="H24"/>
  <c r="G24"/>
  <c r="F24"/>
  <c r="E24"/>
  <c r="D24"/>
  <c r="D58" s="1"/>
  <c r="M23"/>
  <c r="L23"/>
  <c r="K23"/>
  <c r="J23"/>
  <c r="I23"/>
  <c r="H23"/>
  <c r="G23"/>
  <c r="F23"/>
  <c r="E23"/>
  <c r="D23"/>
  <c r="M22"/>
  <c r="L22"/>
  <c r="K22"/>
  <c r="J22"/>
  <c r="J21" s="1"/>
  <c r="J20" s="1"/>
  <c r="I22"/>
  <c r="H22"/>
  <c r="H21" s="1"/>
  <c r="H20" s="1"/>
  <c r="G22"/>
  <c r="F22"/>
  <c r="E22"/>
  <c r="D22"/>
  <c r="M21"/>
  <c r="M20" s="1"/>
  <c r="L21"/>
  <c r="L20" s="1"/>
  <c r="K21"/>
  <c r="K20" s="1"/>
  <c r="I21"/>
  <c r="I20" s="1"/>
  <c r="G21"/>
  <c r="F21"/>
  <c r="D21"/>
  <c r="D17"/>
  <c r="M16"/>
  <c r="L16"/>
  <c r="K16"/>
  <c r="J16"/>
  <c r="I16"/>
  <c r="H16"/>
  <c r="G16"/>
  <c r="F16"/>
  <c r="E16"/>
  <c r="D16"/>
  <c r="M10"/>
  <c r="M9" s="1"/>
  <c r="L10"/>
  <c r="L9" s="1"/>
  <c r="K10"/>
  <c r="K9" s="1"/>
  <c r="J10"/>
  <c r="J9" s="1"/>
  <c r="I10"/>
  <c r="I9" s="1"/>
  <c r="H10"/>
  <c r="H9" s="1"/>
  <c r="G10"/>
  <c r="G9" s="1"/>
  <c r="F10"/>
  <c r="F9" s="1"/>
  <c r="E10"/>
  <c r="E9" s="1"/>
  <c r="M8"/>
  <c r="L8"/>
  <c r="K8"/>
  <c r="J8"/>
  <c r="I8"/>
  <c r="H8"/>
  <c r="G8"/>
  <c r="F8"/>
  <c r="E8"/>
  <c r="D8"/>
  <c r="D92" i="12"/>
  <c r="E21" i="24"/>
  <c r="F47" i="18"/>
  <c r="E47"/>
  <c r="M28"/>
  <c r="L28"/>
  <c r="K28"/>
  <c r="J28"/>
  <c r="I28"/>
  <c r="H28"/>
  <c r="G28"/>
  <c r="F28"/>
  <c r="M24"/>
  <c r="L24"/>
  <c r="K24"/>
  <c r="J24"/>
  <c r="I24"/>
  <c r="M22"/>
  <c r="L22"/>
  <c r="K22"/>
  <c r="J22"/>
  <c r="I22"/>
  <c r="H22"/>
  <c r="G22"/>
  <c r="F22"/>
  <c r="E22"/>
  <c r="M23"/>
  <c r="L23"/>
  <c r="K23"/>
  <c r="J23"/>
  <c r="I23"/>
  <c r="H23"/>
  <c r="G23"/>
  <c r="F23"/>
  <c r="E28"/>
  <c r="D116" i="23"/>
  <c r="A121" i="22"/>
  <c r="D116" s="1"/>
  <c r="F110" i="23"/>
  <c r="F108"/>
  <c r="F106"/>
  <c r="F104"/>
  <c r="F98"/>
  <c r="F96"/>
  <c r="F94"/>
  <c r="F92"/>
  <c r="F86"/>
  <c r="F84"/>
  <c r="F82"/>
  <c r="F80"/>
  <c r="F74"/>
  <c r="F72"/>
  <c r="F70"/>
  <c r="F68"/>
  <c r="F62"/>
  <c r="F60"/>
  <c r="F58"/>
  <c r="F56"/>
  <c r="F50"/>
  <c r="F48"/>
  <c r="F46"/>
  <c r="F44"/>
  <c r="F38"/>
  <c r="F36"/>
  <c r="F34"/>
  <c r="F32"/>
  <c r="F40"/>
  <c r="F26"/>
  <c r="F24"/>
  <c r="F22"/>
  <c r="F13"/>
  <c r="F16" s="1"/>
  <c r="C11"/>
  <c r="C9"/>
  <c r="C7"/>
  <c r="B126" i="22"/>
  <c r="F20"/>
  <c r="F108"/>
  <c r="F106"/>
  <c r="F104"/>
  <c r="F98"/>
  <c r="F96"/>
  <c r="F94"/>
  <c r="F92"/>
  <c r="F100" s="1"/>
  <c r="F86"/>
  <c r="F84"/>
  <c r="F82"/>
  <c r="F80"/>
  <c r="F88" s="1"/>
  <c r="F74"/>
  <c r="F72"/>
  <c r="F70"/>
  <c r="F68"/>
  <c r="F76" s="1"/>
  <c r="F62"/>
  <c r="F60"/>
  <c r="F58"/>
  <c r="F56"/>
  <c r="F50"/>
  <c r="F48"/>
  <c r="F46"/>
  <c r="F44"/>
  <c r="F52" s="1"/>
  <c r="F38"/>
  <c r="F36"/>
  <c r="F34"/>
  <c r="F32"/>
  <c r="F40" s="1"/>
  <c r="F26"/>
  <c r="F24"/>
  <c r="F22"/>
  <c r="F13"/>
  <c r="F16" s="1"/>
  <c r="C11"/>
  <c r="C9"/>
  <c r="C7"/>
  <c r="F28"/>
  <c r="F110"/>
  <c r="F112"/>
  <c r="A13" i="19"/>
  <c r="A20" s="1"/>
  <c r="A13" i="21"/>
  <c r="C15" s="1"/>
  <c r="D130" s="1"/>
  <c r="A13" i="20"/>
  <c r="C15" s="1"/>
  <c r="D130" s="1"/>
  <c r="A13" i="2"/>
  <c r="B138" i="21"/>
  <c r="D128"/>
  <c r="F122"/>
  <c r="F120"/>
  <c r="F118"/>
  <c r="F116"/>
  <c r="F110"/>
  <c r="F108"/>
  <c r="F106"/>
  <c r="F104"/>
  <c r="F98"/>
  <c r="F96"/>
  <c r="F94"/>
  <c r="F100" s="1"/>
  <c r="F92"/>
  <c r="F86"/>
  <c r="F84"/>
  <c r="F82"/>
  <c r="F80"/>
  <c r="F74"/>
  <c r="F72"/>
  <c r="F70"/>
  <c r="F76" s="1"/>
  <c r="F68"/>
  <c r="F62"/>
  <c r="F60"/>
  <c r="F58"/>
  <c r="F56"/>
  <c r="F50"/>
  <c r="F48"/>
  <c r="F46"/>
  <c r="F52" s="1"/>
  <c r="F44"/>
  <c r="F38"/>
  <c r="F36"/>
  <c r="F34"/>
  <c r="F40" s="1"/>
  <c r="F32"/>
  <c r="F26"/>
  <c r="F24"/>
  <c r="F22"/>
  <c r="F28" s="1"/>
  <c r="F20"/>
  <c r="F13"/>
  <c r="C11"/>
  <c r="C9"/>
  <c r="C7"/>
  <c r="B138" i="20"/>
  <c r="D128"/>
  <c r="F122"/>
  <c r="F120"/>
  <c r="F118"/>
  <c r="F116"/>
  <c r="F124" s="1"/>
  <c r="F110"/>
  <c r="F108"/>
  <c r="F106"/>
  <c r="F104"/>
  <c r="F112" s="1"/>
  <c r="F98"/>
  <c r="F96"/>
  <c r="F94"/>
  <c r="F92"/>
  <c r="F86"/>
  <c r="F84"/>
  <c r="F82"/>
  <c r="F88" s="1"/>
  <c r="F80"/>
  <c r="F74"/>
  <c r="F72"/>
  <c r="F70"/>
  <c r="F68"/>
  <c r="F76"/>
  <c r="F62"/>
  <c r="F60"/>
  <c r="F58"/>
  <c r="F56"/>
  <c r="F64" s="1"/>
  <c r="F50"/>
  <c r="F48"/>
  <c r="F46"/>
  <c r="F44"/>
  <c r="F52" s="1"/>
  <c r="F38"/>
  <c r="F36"/>
  <c r="F34"/>
  <c r="F32"/>
  <c r="F26"/>
  <c r="F24"/>
  <c r="F22"/>
  <c r="F20"/>
  <c r="F13"/>
  <c r="C11"/>
  <c r="C9"/>
  <c r="C7"/>
  <c r="B138" i="19"/>
  <c r="D128"/>
  <c r="F122"/>
  <c r="F120"/>
  <c r="F118"/>
  <c r="F116"/>
  <c r="F124"/>
  <c r="F110"/>
  <c r="F108"/>
  <c r="F106"/>
  <c r="F104"/>
  <c r="F112" s="1"/>
  <c r="F98"/>
  <c r="F96"/>
  <c r="F94"/>
  <c r="F92"/>
  <c r="F100" s="1"/>
  <c r="F86"/>
  <c r="F84"/>
  <c r="F82"/>
  <c r="F80"/>
  <c r="F74"/>
  <c r="F72"/>
  <c r="F70"/>
  <c r="F68"/>
  <c r="F76"/>
  <c r="F62"/>
  <c r="F60"/>
  <c r="F58"/>
  <c r="F56"/>
  <c r="F64" s="1"/>
  <c r="F50"/>
  <c r="F48"/>
  <c r="F46"/>
  <c r="F44"/>
  <c r="F52" s="1"/>
  <c r="F38"/>
  <c r="F36"/>
  <c r="F34"/>
  <c r="F32"/>
  <c r="F26"/>
  <c r="F24"/>
  <c r="F22"/>
  <c r="F20"/>
  <c r="F28"/>
  <c r="F13"/>
  <c r="F16" s="1"/>
  <c r="C11"/>
  <c r="C9"/>
  <c r="C7"/>
  <c r="F64" i="21"/>
  <c r="F88"/>
  <c r="F112"/>
  <c r="F124"/>
  <c r="F28" i="20"/>
  <c r="C13" i="19"/>
  <c r="D13" s="1"/>
  <c r="A20" i="21"/>
  <c r="C20" s="1"/>
  <c r="D20" s="1"/>
  <c r="A20" i="20"/>
  <c r="C20" s="1"/>
  <c r="D20" s="1"/>
  <c r="C13"/>
  <c r="D13" s="1"/>
  <c r="C11" i="14"/>
  <c r="F16" i="18"/>
  <c r="E23"/>
  <c r="P10" i="15"/>
  <c r="O10"/>
  <c r="N10"/>
  <c r="M10"/>
  <c r="L10"/>
  <c r="K10"/>
  <c r="J10"/>
  <c r="I10"/>
  <c r="H10"/>
  <c r="H24" i="18"/>
  <c r="H21" s="1"/>
  <c r="H20" s="1"/>
  <c r="G24"/>
  <c r="F24"/>
  <c r="F21" s="1"/>
  <c r="E24"/>
  <c r="D24"/>
  <c r="D58" s="1"/>
  <c r="M10"/>
  <c r="L10"/>
  <c r="K10"/>
  <c r="J10"/>
  <c r="I10"/>
  <c r="H10"/>
  <c r="G10"/>
  <c r="F10"/>
  <c r="E10"/>
  <c r="M16"/>
  <c r="L16"/>
  <c r="K16"/>
  <c r="J16"/>
  <c r="I16"/>
  <c r="H16"/>
  <c r="G16"/>
  <c r="E16"/>
  <c r="D16"/>
  <c r="D28"/>
  <c r="D22"/>
  <c r="D21" s="1"/>
  <c r="D23"/>
  <c r="C55" i="14"/>
  <c r="D10" i="24" s="1"/>
  <c r="D9" s="1"/>
  <c r="D10" i="18"/>
  <c r="L57" i="14"/>
  <c r="K57"/>
  <c r="J57"/>
  <c r="I57"/>
  <c r="H57"/>
  <c r="G57"/>
  <c r="L54"/>
  <c r="K54"/>
  <c r="J54"/>
  <c r="I54"/>
  <c r="H54"/>
  <c r="G54"/>
  <c r="F54"/>
  <c r="E54"/>
  <c r="D54"/>
  <c r="C54"/>
  <c r="C8"/>
  <c r="C7"/>
  <c r="C22"/>
  <c r="C27"/>
  <c r="C34"/>
  <c r="F43" i="1"/>
  <c r="A13" i="22" s="1"/>
  <c r="F40" i="1"/>
  <c r="D104" i="10"/>
  <c r="D17" i="18"/>
  <c r="F53" i="1"/>
  <c r="F52"/>
  <c r="C33" i="14"/>
  <c r="C6"/>
  <c r="M21" i="18"/>
  <c r="M20"/>
  <c r="L21"/>
  <c r="L20"/>
  <c r="K21"/>
  <c r="K20"/>
  <c r="J21"/>
  <c r="J20"/>
  <c r="I21"/>
  <c r="I20"/>
  <c r="G21"/>
  <c r="E21"/>
  <c r="M8"/>
  <c r="L8"/>
  <c r="K8"/>
  <c r="J8"/>
  <c r="I8"/>
  <c r="H8"/>
  <c r="G8"/>
  <c r="F8"/>
  <c r="E8"/>
  <c r="D8"/>
  <c r="D16" i="13"/>
  <c r="C40" i="14"/>
  <c r="D10" i="13"/>
  <c r="D19" s="1"/>
  <c r="F42" i="1"/>
  <c r="F41"/>
  <c r="E36"/>
  <c r="F39"/>
  <c r="F37"/>
  <c r="A13" i="9" s="1"/>
  <c r="A20" s="1"/>
  <c r="A22" s="1"/>
  <c r="F110"/>
  <c r="F108"/>
  <c r="F106"/>
  <c r="F104"/>
  <c r="F98"/>
  <c r="F96"/>
  <c r="F94"/>
  <c r="F92"/>
  <c r="F86"/>
  <c r="F84"/>
  <c r="F82"/>
  <c r="F80"/>
  <c r="F74"/>
  <c r="F72"/>
  <c r="F70"/>
  <c r="F68"/>
  <c r="F62"/>
  <c r="F60"/>
  <c r="F58"/>
  <c r="F56"/>
  <c r="F50"/>
  <c r="F48"/>
  <c r="F46"/>
  <c r="F44"/>
  <c r="F38"/>
  <c r="F36"/>
  <c r="F34"/>
  <c r="F32"/>
  <c r="F26"/>
  <c r="F24"/>
  <c r="F22"/>
  <c r="E10" i="13"/>
  <c r="F12" i="15"/>
  <c r="E12"/>
  <c r="D12"/>
  <c r="D33" i="24" s="1"/>
  <c r="C12" i="15"/>
  <c r="P9"/>
  <c r="O9"/>
  <c r="N9"/>
  <c r="M9"/>
  <c r="L9"/>
  <c r="K9"/>
  <c r="J9"/>
  <c r="I9"/>
  <c r="H9"/>
  <c r="C44" i="14"/>
  <c r="L42"/>
  <c r="K42"/>
  <c r="J42"/>
  <c r="I42"/>
  <c r="H42"/>
  <c r="G42"/>
  <c r="F42"/>
  <c r="E42"/>
  <c r="D42"/>
  <c r="C42"/>
  <c r="L33"/>
  <c r="K33"/>
  <c r="J33"/>
  <c r="I33"/>
  <c r="H33"/>
  <c r="G33"/>
  <c r="F33"/>
  <c r="E33"/>
  <c r="D33"/>
  <c r="L27"/>
  <c r="K27"/>
  <c r="J27"/>
  <c r="I27"/>
  <c r="H27"/>
  <c r="G27"/>
  <c r="F27"/>
  <c r="E27"/>
  <c r="D27"/>
  <c r="L22"/>
  <c r="K22"/>
  <c r="L7" i="24" s="1"/>
  <c r="J22" i="14"/>
  <c r="I22"/>
  <c r="J7" i="24" s="1"/>
  <c r="H22" i="14"/>
  <c r="G22"/>
  <c r="H7" i="24" s="1"/>
  <c r="F22" i="14"/>
  <c r="G7" i="24" s="1"/>
  <c r="E22" i="14"/>
  <c r="F7" i="24" s="1"/>
  <c r="D22" i="14"/>
  <c r="D48" s="1"/>
  <c r="C48"/>
  <c r="C53" s="1"/>
  <c r="L8"/>
  <c r="L7" s="1"/>
  <c r="K8"/>
  <c r="K7" s="1"/>
  <c r="J8"/>
  <c r="J7" s="1"/>
  <c r="K6" i="24" s="1"/>
  <c r="I8" i="14"/>
  <c r="I7" s="1"/>
  <c r="H8"/>
  <c r="H7" s="1"/>
  <c r="H6" s="1"/>
  <c r="H40" s="1"/>
  <c r="H46" s="1"/>
  <c r="G8"/>
  <c r="G7" s="1"/>
  <c r="F8"/>
  <c r="F7" s="1"/>
  <c r="E8"/>
  <c r="E7"/>
  <c r="F6" i="24" s="1"/>
  <c r="F19" s="1"/>
  <c r="D8" i="14"/>
  <c r="D7" s="1"/>
  <c r="M20" i="13"/>
  <c r="L20"/>
  <c r="K20"/>
  <c r="J20"/>
  <c r="I20"/>
  <c r="H20"/>
  <c r="G20"/>
  <c r="F20"/>
  <c r="D20"/>
  <c r="M10"/>
  <c r="M9" s="1"/>
  <c r="L10"/>
  <c r="L9" s="1"/>
  <c r="K10"/>
  <c r="K9" s="1"/>
  <c r="J10"/>
  <c r="J9" s="1"/>
  <c r="I10"/>
  <c r="I9" s="1"/>
  <c r="H10"/>
  <c r="H9" s="1"/>
  <c r="G10"/>
  <c r="G9" s="1"/>
  <c r="D9"/>
  <c r="D18" s="1"/>
  <c r="M8"/>
  <c r="L8"/>
  <c r="K8"/>
  <c r="J8"/>
  <c r="I8"/>
  <c r="H8"/>
  <c r="G8"/>
  <c r="F8"/>
  <c r="E8"/>
  <c r="D8"/>
  <c r="D5"/>
  <c r="E48" i="14"/>
  <c r="E53" s="1"/>
  <c r="F7" i="18" s="1"/>
  <c r="G48" i="14"/>
  <c r="G53" s="1"/>
  <c r="H7" i="18" s="1"/>
  <c r="I48" i="14"/>
  <c r="I53" s="1"/>
  <c r="J7" i="18" s="1"/>
  <c r="K48" i="14"/>
  <c r="K53" s="1"/>
  <c r="L7" i="18" s="1"/>
  <c r="F48" i="14"/>
  <c r="F53" s="1"/>
  <c r="G7" i="18" s="1"/>
  <c r="H48" i="14"/>
  <c r="H53" s="1"/>
  <c r="I7" i="18" s="1"/>
  <c r="I7" i="24"/>
  <c r="J48" i="14"/>
  <c r="J53" s="1"/>
  <c r="K7" i="18" s="1"/>
  <c r="K7" i="24"/>
  <c r="L48" i="14"/>
  <c r="L53" s="1"/>
  <c r="M7" i="18" s="1"/>
  <c r="M7" i="24"/>
  <c r="H7" i="13"/>
  <c r="D33" i="18"/>
  <c r="E16" i="13"/>
  <c r="E9"/>
  <c r="I6" i="14"/>
  <c r="I40" s="1"/>
  <c r="I46" s="1"/>
  <c r="C47"/>
  <c r="D35" i="13"/>
  <c r="C14" i="12"/>
  <c r="F122" i="2"/>
  <c r="F120"/>
  <c r="E25" i="1"/>
  <c r="C52" i="14"/>
  <c r="D6" i="24" s="1"/>
  <c r="G3" i="1"/>
  <c r="G16"/>
  <c r="D6" i="18"/>
  <c r="C46" i="14"/>
  <c r="E26" i="1"/>
  <c r="G12" i="15"/>
  <c r="E33" i="24" s="1"/>
  <c r="E33" i="18"/>
  <c r="F97" i="10"/>
  <c r="F19"/>
  <c r="F21"/>
  <c r="F23"/>
  <c r="F25"/>
  <c r="F31"/>
  <c r="F33"/>
  <c r="F35"/>
  <c r="F37"/>
  <c r="F43"/>
  <c r="F45"/>
  <c r="F47"/>
  <c r="F49"/>
  <c r="F55"/>
  <c r="F57"/>
  <c r="F59"/>
  <c r="F61"/>
  <c r="F25" i="12"/>
  <c r="F23"/>
  <c r="F21"/>
  <c r="F19"/>
  <c r="F27" s="1"/>
  <c r="F37"/>
  <c r="F35"/>
  <c r="F33"/>
  <c r="F31"/>
  <c r="F49"/>
  <c r="F47"/>
  <c r="F45"/>
  <c r="F43"/>
  <c r="F61"/>
  <c r="F59"/>
  <c r="F57"/>
  <c r="F55"/>
  <c r="F63" s="1"/>
  <c r="F83"/>
  <c r="F81"/>
  <c r="F79"/>
  <c r="F73"/>
  <c r="F67"/>
  <c r="F69"/>
  <c r="F75" s="1"/>
  <c r="F71"/>
  <c r="F85"/>
  <c r="A19"/>
  <c r="C19" s="1"/>
  <c r="C7"/>
  <c r="C9"/>
  <c r="C11"/>
  <c r="C13"/>
  <c r="D13"/>
  <c r="F15"/>
  <c r="B102"/>
  <c r="F61" i="1"/>
  <c r="E61"/>
  <c r="D61"/>
  <c r="F51" i="12"/>
  <c r="F39"/>
  <c r="B114" i="10"/>
  <c r="F95"/>
  <c r="F93"/>
  <c r="F91"/>
  <c r="F85"/>
  <c r="F83"/>
  <c r="F81"/>
  <c r="F79"/>
  <c r="F73"/>
  <c r="F71"/>
  <c r="F69"/>
  <c r="F67"/>
  <c r="F75" s="1"/>
  <c r="F15"/>
  <c r="C11"/>
  <c r="C9"/>
  <c r="C7"/>
  <c r="F39"/>
  <c r="F51"/>
  <c r="C14" i="4"/>
  <c r="F20" i="3"/>
  <c r="B126" i="9"/>
  <c r="F112"/>
  <c r="F100"/>
  <c r="F88"/>
  <c r="F64"/>
  <c r="F52"/>
  <c r="F40"/>
  <c r="F13"/>
  <c r="F16" s="1"/>
  <c r="C13"/>
  <c r="D13" s="1"/>
  <c r="C11"/>
  <c r="C9"/>
  <c r="C7"/>
  <c r="F28"/>
  <c r="F76"/>
  <c r="A21" i="12"/>
  <c r="C21" s="1"/>
  <c r="D21" s="1"/>
  <c r="A23"/>
  <c r="A144" i="7"/>
  <c r="F130" s="1"/>
  <c r="F132" i="6"/>
  <c r="F128"/>
  <c r="F122"/>
  <c r="F118"/>
  <c r="F108"/>
  <c r="F104"/>
  <c r="F98"/>
  <c r="F94"/>
  <c r="F84"/>
  <c r="F80"/>
  <c r="F74"/>
  <c r="F70"/>
  <c r="F60"/>
  <c r="F56"/>
  <c r="F50"/>
  <c r="F46"/>
  <c r="F36"/>
  <c r="F32"/>
  <c r="F26"/>
  <c r="F22"/>
  <c r="A144"/>
  <c r="F134" s="1"/>
  <c r="A13" i="3"/>
  <c r="A20" s="1"/>
  <c r="A22" s="1"/>
  <c r="A24" s="1"/>
  <c r="A26" s="1"/>
  <c r="A32" s="1"/>
  <c r="F132"/>
  <c r="F130"/>
  <c r="F128"/>
  <c r="F122"/>
  <c r="F120"/>
  <c r="F118"/>
  <c r="F124" s="1"/>
  <c r="F116"/>
  <c r="F110"/>
  <c r="F108"/>
  <c r="F106"/>
  <c r="F104"/>
  <c r="F98"/>
  <c r="F96"/>
  <c r="F94"/>
  <c r="F100" s="1"/>
  <c r="F92"/>
  <c r="F86"/>
  <c r="F84"/>
  <c r="F82"/>
  <c r="F80"/>
  <c r="F74"/>
  <c r="F72"/>
  <c r="F70"/>
  <c r="F76" s="1"/>
  <c r="F68"/>
  <c r="F62"/>
  <c r="F60"/>
  <c r="F58"/>
  <c r="F56"/>
  <c r="F50"/>
  <c r="F48"/>
  <c r="F46"/>
  <c r="F44"/>
  <c r="F38"/>
  <c r="F36"/>
  <c r="F34"/>
  <c r="F40" s="1"/>
  <c r="F32"/>
  <c r="F26"/>
  <c r="F24"/>
  <c r="F22"/>
  <c r="F7" i="4"/>
  <c r="A9" s="1"/>
  <c r="D25" i="1"/>
  <c r="D24" s="1"/>
  <c r="E24"/>
  <c r="G24" s="1"/>
  <c r="F24"/>
  <c r="L43" i="8"/>
  <c r="K43"/>
  <c r="J43"/>
  <c r="I43"/>
  <c r="H43"/>
  <c r="G43"/>
  <c r="F43"/>
  <c r="E43"/>
  <c r="D43"/>
  <c r="D42"/>
  <c r="M40"/>
  <c r="L40"/>
  <c r="K40"/>
  <c r="J40"/>
  <c r="I40"/>
  <c r="H40"/>
  <c r="G40"/>
  <c r="F40"/>
  <c r="E40"/>
  <c r="D40"/>
  <c r="A13" i="7"/>
  <c r="C13" s="1"/>
  <c r="E10" i="1"/>
  <c r="D10"/>
  <c r="E20" s="1"/>
  <c r="C33" i="8"/>
  <c r="F10" i="1"/>
  <c r="G19" s="1"/>
  <c r="C34" i="8" s="1"/>
  <c r="C25"/>
  <c r="C23" s="1"/>
  <c r="C11" i="7"/>
  <c r="C9"/>
  <c r="C7"/>
  <c r="A20" i="6"/>
  <c r="C15"/>
  <c r="D142"/>
  <c r="C13"/>
  <c r="D13"/>
  <c r="C11"/>
  <c r="C9"/>
  <c r="C7"/>
  <c r="F136" i="3"/>
  <c r="F112"/>
  <c r="F88"/>
  <c r="F52"/>
  <c r="F28"/>
  <c r="F138" s="1"/>
  <c r="F64"/>
  <c r="C15"/>
  <c r="D142" s="1"/>
  <c r="C11"/>
  <c r="C9"/>
  <c r="C7"/>
  <c r="D7" i="4"/>
  <c r="D57"/>
  <c r="F13"/>
  <c r="F11"/>
  <c r="F9"/>
  <c r="A11"/>
  <c r="F48"/>
  <c r="F46"/>
  <c r="F44"/>
  <c r="F38"/>
  <c r="F36"/>
  <c r="F34"/>
  <c r="F32"/>
  <c r="F26"/>
  <c r="F24"/>
  <c r="F22"/>
  <c r="F118" i="2"/>
  <c r="F116"/>
  <c r="F110"/>
  <c r="F108"/>
  <c r="F106"/>
  <c r="F112" s="1"/>
  <c r="F104"/>
  <c r="F98"/>
  <c r="F96"/>
  <c r="F94"/>
  <c r="F100" s="1"/>
  <c r="F92"/>
  <c r="F86"/>
  <c r="F84"/>
  <c r="F82"/>
  <c r="F88" s="1"/>
  <c r="F80"/>
  <c r="F74"/>
  <c r="F72"/>
  <c r="F70"/>
  <c r="F76" s="1"/>
  <c r="F68"/>
  <c r="F62"/>
  <c r="F60"/>
  <c r="F58"/>
  <c r="F64" s="1"/>
  <c r="F56"/>
  <c r="F50"/>
  <c r="F48"/>
  <c r="F46"/>
  <c r="F44"/>
  <c r="F38"/>
  <c r="F36"/>
  <c r="F34"/>
  <c r="F32"/>
  <c r="F26"/>
  <c r="F24"/>
  <c r="F22"/>
  <c r="F28" s="1"/>
  <c r="F124"/>
  <c r="F13"/>
  <c r="F16" s="1"/>
  <c r="B138"/>
  <c r="C11"/>
  <c r="C9"/>
  <c r="C7"/>
  <c r="C14" i="6"/>
  <c r="A13" i="4"/>
  <c r="A20"/>
  <c r="D11"/>
  <c r="F40"/>
  <c r="D16" i="6"/>
  <c r="D22"/>
  <c r="C61" i="14"/>
  <c r="D25" i="24" s="1"/>
  <c r="D9" i="4"/>
  <c r="D13"/>
  <c r="A24" i="6"/>
  <c r="A26" s="1"/>
  <c r="A32" s="1"/>
  <c r="D20" i="3"/>
  <c r="D24" i="6"/>
  <c r="D26"/>
  <c r="C15" i="7"/>
  <c r="D142" s="1"/>
  <c r="C57" i="14"/>
  <c r="A20" i="2"/>
  <c r="A22"/>
  <c r="A24" s="1"/>
  <c r="C24" s="1"/>
  <c r="D24" s="1"/>
  <c r="C15"/>
  <c r="D130"/>
  <c r="C13"/>
  <c r="D28" i="6"/>
  <c r="C27"/>
  <c r="D13" i="2"/>
  <c r="D16" s="1"/>
  <c r="C20"/>
  <c r="D20" s="1"/>
  <c r="D24" i="3"/>
  <c r="D22"/>
  <c r="D22" i="7"/>
  <c r="D26" i="3"/>
  <c r="D28"/>
  <c r="C27"/>
  <c r="D24" i="7"/>
  <c r="D26"/>
  <c r="C27"/>
  <c r="D25" i="8"/>
  <c r="F10" i="13"/>
  <c r="F9" s="1"/>
  <c r="F9" i="18"/>
  <c r="D49" i="8"/>
  <c r="D14" i="18"/>
  <c r="C13" i="21"/>
  <c r="D13"/>
  <c r="C14"/>
  <c r="A26" i="2"/>
  <c r="C26" s="1"/>
  <c r="F88" i="23" l="1"/>
  <c r="F112"/>
  <c r="D16" i="21"/>
  <c r="F6" i="14"/>
  <c r="E6"/>
  <c r="E40" s="1"/>
  <c r="E46" s="1"/>
  <c r="H9" i="18"/>
  <c r="L9"/>
  <c r="I7" i="13"/>
  <c r="K7"/>
  <c r="J7"/>
  <c r="M7"/>
  <c r="H6" i="24"/>
  <c r="H19" s="1"/>
  <c r="G6" i="14"/>
  <c r="G40" s="1"/>
  <c r="G46" s="1"/>
  <c r="M6" i="24"/>
  <c r="M5" s="1"/>
  <c r="M18" s="1"/>
  <c r="M52" s="1"/>
  <c r="M47" s="1"/>
  <c r="L47" i="14"/>
  <c r="G47"/>
  <c r="G52" s="1"/>
  <c r="H6" i="18" s="1"/>
  <c r="H19" s="1"/>
  <c r="F87" i="10"/>
  <c r="F99"/>
  <c r="C15" i="9"/>
  <c r="E35" i="13"/>
  <c r="D9" i="18"/>
  <c r="C14" i="19"/>
  <c r="M9" i="18"/>
  <c r="I9"/>
  <c r="A20" i="22"/>
  <c r="C15"/>
  <c r="C13"/>
  <c r="D13" s="1"/>
  <c r="G9" i="18"/>
  <c r="E9"/>
  <c r="F40" i="14"/>
  <c r="F46" s="1"/>
  <c r="G7" i="13"/>
  <c r="E7" i="24"/>
  <c r="D53" i="14"/>
  <c r="E7" i="18" s="1"/>
  <c r="E7" i="13"/>
  <c r="C22" i="2"/>
  <c r="D22" s="1"/>
  <c r="F40"/>
  <c r="F40" i="20"/>
  <c r="F126" s="1"/>
  <c r="F100"/>
  <c r="F126" i="21"/>
  <c r="F40" i="19"/>
  <c r="F126" s="1"/>
  <c r="F88"/>
  <c r="D94" i="12"/>
  <c r="G33" i="8" s="1"/>
  <c r="D15" i="12"/>
  <c r="F114" i="9"/>
  <c r="F64" i="22"/>
  <c r="F114" s="1"/>
  <c r="F64" i="23"/>
  <c r="F76"/>
  <c r="F52"/>
  <c r="F100"/>
  <c r="F28" i="4"/>
  <c r="F52"/>
  <c r="D16"/>
  <c r="F16"/>
  <c r="D25" i="18"/>
  <c r="C15" i="19"/>
  <c r="D118" i="9"/>
  <c r="D16"/>
  <c r="A32" i="2"/>
  <c r="A20" i="7"/>
  <c r="F20" i="1"/>
  <c r="G30"/>
  <c r="C14" i="2"/>
  <c r="C14" i="20"/>
  <c r="C32" i="6"/>
  <c r="A34"/>
  <c r="D14" i="24"/>
  <c r="D14" i="13"/>
  <c r="F52" i="2"/>
  <c r="F126" s="1"/>
  <c r="C20" i="4"/>
  <c r="D20" s="1"/>
  <c r="A22"/>
  <c r="G6" i="24"/>
  <c r="F47" i="14"/>
  <c r="I47"/>
  <c r="J6" i="24"/>
  <c r="C51" i="14"/>
  <c r="D7" i="24"/>
  <c r="D7" i="18"/>
  <c r="D20" i="7"/>
  <c r="D28" s="1"/>
  <c r="F55" i="4"/>
  <c r="C13" i="3"/>
  <c r="F24" i="6"/>
  <c r="F28" s="1"/>
  <c r="F34"/>
  <c r="F40" s="1"/>
  <c r="E24" i="8" s="1"/>
  <c r="F38" i="6"/>
  <c r="F44"/>
  <c r="F52" s="1"/>
  <c r="F48"/>
  <c r="F58"/>
  <c r="F64" s="1"/>
  <c r="F62"/>
  <c r="F68"/>
  <c r="F76" s="1"/>
  <c r="H24" i="8" s="1"/>
  <c r="F72" i="6"/>
  <c r="F82"/>
  <c r="F88" s="1"/>
  <c r="I24" i="8" s="1"/>
  <c r="F86" i="6"/>
  <c r="F92"/>
  <c r="F100" s="1"/>
  <c r="J24" i="8" s="1"/>
  <c r="F96" i="6"/>
  <c r="F106"/>
  <c r="F112" s="1"/>
  <c r="K24" i="8" s="1"/>
  <c r="F110" i="6"/>
  <c r="F116"/>
  <c r="F124" s="1"/>
  <c r="L24" i="8" s="1"/>
  <c r="F120" i="6"/>
  <c r="F130"/>
  <c r="F136" s="1"/>
  <c r="F22" i="7"/>
  <c r="F26"/>
  <c r="F34"/>
  <c r="F38"/>
  <c r="F46"/>
  <c r="F50"/>
  <c r="F58"/>
  <c r="F62"/>
  <c r="F70"/>
  <c r="F74"/>
  <c r="F82"/>
  <c r="F86"/>
  <c r="F94"/>
  <c r="F98"/>
  <c r="F106"/>
  <c r="F110"/>
  <c r="F118"/>
  <c r="F122"/>
  <c r="C14" i="9"/>
  <c r="F87" i="12"/>
  <c r="F90" s="1"/>
  <c r="F63" i="10"/>
  <c r="F27"/>
  <c r="F5" i="24"/>
  <c r="F20" i="7"/>
  <c r="A25" i="12"/>
  <c r="C23"/>
  <c r="D23" s="1"/>
  <c r="G25" i="24"/>
  <c r="G43" s="1"/>
  <c r="F61" i="14"/>
  <c r="F57" s="1"/>
  <c r="G25" i="18"/>
  <c r="D19" i="12"/>
  <c r="D5" i="18"/>
  <c r="D19"/>
  <c r="D5" i="24"/>
  <c r="D18" s="1"/>
  <c r="D53" s="1"/>
  <c r="D19"/>
  <c r="D47" i="14"/>
  <c r="D6"/>
  <c r="D40" s="1"/>
  <c r="D46" s="1"/>
  <c r="E6" i="24"/>
  <c r="E19" s="1"/>
  <c r="H47" i="14"/>
  <c r="I6" i="24"/>
  <c r="K5"/>
  <c r="K18" s="1"/>
  <c r="K52" s="1"/>
  <c r="K47" s="1"/>
  <c r="K19"/>
  <c r="K47" i="14"/>
  <c r="K6"/>
  <c r="K40" s="1"/>
  <c r="K46" s="1"/>
  <c r="L6" i="24"/>
  <c r="A22" i="19"/>
  <c r="C20"/>
  <c r="D20" s="1"/>
  <c r="F24" i="7"/>
  <c r="F32"/>
  <c r="F40" s="1"/>
  <c r="F36"/>
  <c r="F44"/>
  <c r="F52" s="1"/>
  <c r="F48"/>
  <c r="F56"/>
  <c r="F64" s="1"/>
  <c r="F60"/>
  <c r="F68"/>
  <c r="F76" s="1"/>
  <c r="F72"/>
  <c r="F80"/>
  <c r="F88" s="1"/>
  <c r="F84"/>
  <c r="F92"/>
  <c r="F100" s="1"/>
  <c r="F96"/>
  <c r="F104"/>
  <c r="F112" s="1"/>
  <c r="F108"/>
  <c r="F116"/>
  <c r="F124" s="1"/>
  <c r="F120"/>
  <c r="F128"/>
  <c r="F136" s="1"/>
  <c r="F132"/>
  <c r="G20" i="24"/>
  <c r="D16" i="19"/>
  <c r="F7" i="13"/>
  <c r="E47" i="14"/>
  <c r="L6"/>
  <c r="L40" s="1"/>
  <c r="L46" s="1"/>
  <c r="L7" i="13"/>
  <c r="J6" i="14"/>
  <c r="J40" s="1"/>
  <c r="J46" s="1"/>
  <c r="J47"/>
  <c r="F38" i="1"/>
  <c r="A13" i="23" s="1"/>
  <c r="F50" i="1"/>
  <c r="J9" i="18"/>
  <c r="K9"/>
  <c r="D16" i="20"/>
  <c r="F20" i="23"/>
  <c r="F28" s="1"/>
  <c r="F114" s="1"/>
  <c r="D26" i="2"/>
  <c r="D28" s="1"/>
  <c r="C27"/>
  <c r="D20" i="24"/>
  <c r="D55"/>
  <c r="D18" i="18"/>
  <c r="D53" s="1"/>
  <c r="C14" i="7"/>
  <c r="D13"/>
  <c r="D16" s="1"/>
  <c r="C32" i="3"/>
  <c r="A34"/>
  <c r="F18" i="24"/>
  <c r="F53" s="1"/>
  <c r="C22" i="19"/>
  <c r="A24"/>
  <c r="A22" i="20"/>
  <c r="A22" i="21"/>
  <c r="D130" i="19"/>
  <c r="M19" i="24" l="1"/>
  <c r="A20" i="23"/>
  <c r="C13"/>
  <c r="C15"/>
  <c r="H5" i="18"/>
  <c r="H5" i="24"/>
  <c r="H18" s="1"/>
  <c r="H52" s="1"/>
  <c r="H47" s="1"/>
  <c r="G51" i="14"/>
  <c r="H6" i="13"/>
  <c r="H5" s="1"/>
  <c r="H18" s="1"/>
  <c r="L52" i="14"/>
  <c r="M6" i="13"/>
  <c r="K8" i="15"/>
  <c r="G24" i="8"/>
  <c r="C14" i="22"/>
  <c r="H19" i="13"/>
  <c r="F24" i="8"/>
  <c r="E63" i="14" s="1"/>
  <c r="M24" i="8"/>
  <c r="L63" i="14" s="1"/>
  <c r="D55" i="18"/>
  <c r="D20"/>
  <c r="C32" i="2"/>
  <c r="D32" s="1"/>
  <c r="A34"/>
  <c r="K63" i="14"/>
  <c r="L48" i="8"/>
  <c r="L27" i="13"/>
  <c r="L26" s="1"/>
  <c r="I63" i="14"/>
  <c r="J48" i="8"/>
  <c r="J27" i="13"/>
  <c r="J26" s="1"/>
  <c r="I48" i="8"/>
  <c r="H63" i="14"/>
  <c r="I27" i="13"/>
  <c r="I26" s="1"/>
  <c r="H27"/>
  <c r="H26" s="1"/>
  <c r="G63" i="14"/>
  <c r="H48" i="8"/>
  <c r="F63" i="14"/>
  <c r="G48" i="8"/>
  <c r="G27" i="13"/>
  <c r="G26" s="1"/>
  <c r="D63" i="14"/>
  <c r="E27" i="13"/>
  <c r="E26" s="1"/>
  <c r="E48" i="8"/>
  <c r="J63" i="14"/>
  <c r="K48" i="8"/>
  <c r="K27" i="13"/>
  <c r="K26" s="1"/>
  <c r="F138" i="6"/>
  <c r="A13" i="10"/>
  <c r="F25" i="18"/>
  <c r="F20" s="1"/>
  <c r="F25" i="24"/>
  <c r="F20" s="1"/>
  <c r="E61" i="14"/>
  <c r="E57" s="1"/>
  <c r="C20" i="22"/>
  <c r="D20" s="1"/>
  <c r="A22"/>
  <c r="L5" i="24"/>
  <c r="L19"/>
  <c r="L6" i="13"/>
  <c r="K52" i="14"/>
  <c r="H52"/>
  <c r="I6" i="13"/>
  <c r="H18" i="18"/>
  <c r="H52" s="1"/>
  <c r="H47" s="1"/>
  <c r="G20"/>
  <c r="G43"/>
  <c r="C25" i="12"/>
  <c r="D25" s="1"/>
  <c r="A31"/>
  <c r="J6" i="13"/>
  <c r="I52" i="14"/>
  <c r="G5" i="24"/>
  <c r="G18" s="1"/>
  <c r="G52" s="1"/>
  <c r="G47" s="1"/>
  <c r="G19"/>
  <c r="D32" i="6"/>
  <c r="F36" i="1"/>
  <c r="E5" i="24"/>
  <c r="F102" i="10"/>
  <c r="K6" i="13"/>
  <c r="J52" i="14"/>
  <c r="F6" i="13"/>
  <c r="E52" i="14"/>
  <c r="D16" i="22"/>
  <c r="D118"/>
  <c r="C20" i="9"/>
  <c r="D20" s="1"/>
  <c r="I5" i="24"/>
  <c r="I19"/>
  <c r="D52" i="14"/>
  <c r="E6" i="13"/>
  <c r="F28" i="7"/>
  <c r="F138" s="1"/>
  <c r="A22"/>
  <c r="A24" s="1"/>
  <c r="A26" s="1"/>
  <c r="A32" s="1"/>
  <c r="K11" i="15"/>
  <c r="K12" s="1"/>
  <c r="G72" i="14"/>
  <c r="G68"/>
  <c r="D13" i="3"/>
  <c r="D16" s="1"/>
  <c r="C14"/>
  <c r="J5" i="24"/>
  <c r="J19"/>
  <c r="F52" i="14"/>
  <c r="G6" i="13"/>
  <c r="C22" i="4"/>
  <c r="D22" s="1"/>
  <c r="A24"/>
  <c r="C34" i="6"/>
  <c r="D34" s="1"/>
  <c r="A36"/>
  <c r="D27" i="12"/>
  <c r="D32" i="3"/>
  <c r="C22" i="20"/>
  <c r="A24"/>
  <c r="A26" i="19"/>
  <c r="C24"/>
  <c r="D24" s="1"/>
  <c r="C22" i="21"/>
  <c r="A24"/>
  <c r="D22" i="19"/>
  <c r="C34" i="3"/>
  <c r="D34" s="1"/>
  <c r="A36"/>
  <c r="D13" i="23" l="1"/>
  <c r="C14"/>
  <c r="P8" i="15"/>
  <c r="M6" i="18"/>
  <c r="L51" i="14"/>
  <c r="M5" i="13"/>
  <c r="M18" s="1"/>
  <c r="M19"/>
  <c r="F27"/>
  <c r="F26" s="1"/>
  <c r="F48" i="8"/>
  <c r="M27" i="13"/>
  <c r="M26" s="1"/>
  <c r="M48" i="8"/>
  <c r="C34" i="2"/>
  <c r="D34" s="1"/>
  <c r="A36"/>
  <c r="C36" i="6"/>
  <c r="D36" s="1"/>
  <c r="A38"/>
  <c r="C24" i="4"/>
  <c r="D24" s="1"/>
  <c r="A26"/>
  <c r="G5" i="13"/>
  <c r="G18" s="1"/>
  <c r="G19"/>
  <c r="A34" i="7"/>
  <c r="C32"/>
  <c r="D32" s="1"/>
  <c r="E5" i="13"/>
  <c r="E19"/>
  <c r="I8" i="15"/>
  <c r="F6" i="18"/>
  <c r="E51" i="14"/>
  <c r="K6" i="18"/>
  <c r="J51" i="14"/>
  <c r="N8" i="15"/>
  <c r="D118" i="23"/>
  <c r="D16"/>
  <c r="E25" i="24"/>
  <c r="D61" i="14"/>
  <c r="D57" s="1"/>
  <c r="E25" i="18"/>
  <c r="E25" i="13"/>
  <c r="E20" s="1"/>
  <c r="G36" i="1"/>
  <c r="J6" i="18"/>
  <c r="M8" i="15"/>
  <c r="I51" i="14"/>
  <c r="C31" i="12"/>
  <c r="A33"/>
  <c r="I5" i="13"/>
  <c r="I18" s="1"/>
  <c r="I19"/>
  <c r="L6" i="18"/>
  <c r="K51" i="14"/>
  <c r="O8" i="15"/>
  <c r="C22" i="22"/>
  <c r="D22" s="1"/>
  <c r="A24"/>
  <c r="J62" i="14"/>
  <c r="K27" i="24"/>
  <c r="K27" i="18"/>
  <c r="E62" i="14"/>
  <c r="F27" i="24"/>
  <c r="F27" i="18"/>
  <c r="I27" i="24"/>
  <c r="H62" i="14"/>
  <c r="I27" i="18"/>
  <c r="J27"/>
  <c r="I62" i="14"/>
  <c r="J27" i="24"/>
  <c r="M27" i="18"/>
  <c r="M27" i="24"/>
  <c r="L62" i="14"/>
  <c r="C26" i="12"/>
  <c r="D24" i="8"/>
  <c r="G6" i="18"/>
  <c r="F51" i="14"/>
  <c r="J8" i="15"/>
  <c r="J18" i="24"/>
  <c r="J52" s="1"/>
  <c r="J47" s="1"/>
  <c r="D51" i="14"/>
  <c r="E6" i="18"/>
  <c r="H8" i="15"/>
  <c r="I18" i="24"/>
  <c r="I52" s="1"/>
  <c r="I47" s="1"/>
  <c r="C22" i="9"/>
  <c r="D22" s="1"/>
  <c r="A24"/>
  <c r="F5" i="13"/>
  <c r="F18" s="1"/>
  <c r="F19"/>
  <c r="K19"/>
  <c r="K5"/>
  <c r="K18" s="1"/>
  <c r="C20" i="23"/>
  <c r="D20" s="1"/>
  <c r="A22"/>
  <c r="E18" i="24"/>
  <c r="E53" s="1"/>
  <c r="J19" i="13"/>
  <c r="J5"/>
  <c r="J18" s="1"/>
  <c r="I6" i="18"/>
  <c r="H51" i="14"/>
  <c r="L8" i="15"/>
  <c r="L5" i="13"/>
  <c r="L18" s="1"/>
  <c r="L19"/>
  <c r="L18" i="24"/>
  <c r="L52" s="1"/>
  <c r="L47" s="1"/>
  <c r="C14" i="10"/>
  <c r="A19"/>
  <c r="C13"/>
  <c r="D13" s="1"/>
  <c r="E27" i="18"/>
  <c r="E27" i="24"/>
  <c r="D62" i="14"/>
  <c r="D73" s="1"/>
  <c r="G27" i="24"/>
  <c r="G27" i="18"/>
  <c r="F62" i="14"/>
  <c r="G62"/>
  <c r="H27" i="18"/>
  <c r="H27" i="24"/>
  <c r="L27"/>
  <c r="L27" i="18"/>
  <c r="K62" i="14"/>
  <c r="D22" i="21"/>
  <c r="C26" i="19"/>
  <c r="A32"/>
  <c r="C36" i="3"/>
  <c r="D36" s="1"/>
  <c r="A38"/>
  <c r="A26" i="21"/>
  <c r="C24"/>
  <c r="D24" s="1"/>
  <c r="C24" i="20"/>
  <c r="D24" s="1"/>
  <c r="A26"/>
  <c r="D22"/>
  <c r="L68" i="14" l="1"/>
  <c r="L72"/>
  <c r="P11" i="15"/>
  <c r="P12" s="1"/>
  <c r="M5" i="18"/>
  <c r="M18" s="1"/>
  <c r="M52" s="1"/>
  <c r="M47" s="1"/>
  <c r="M19"/>
  <c r="D106" i="10"/>
  <c r="F33" i="8" s="1"/>
  <c r="D15" i="10"/>
  <c r="C36" i="2"/>
  <c r="A38"/>
  <c r="H39" i="24"/>
  <c r="H38" s="1"/>
  <c r="H26"/>
  <c r="H29" s="1"/>
  <c r="G73" i="14"/>
  <c r="G74" s="1"/>
  <c r="G69"/>
  <c r="G70" s="1"/>
  <c r="G66"/>
  <c r="E39" i="18"/>
  <c r="E38" s="1"/>
  <c r="E26"/>
  <c r="I19"/>
  <c r="I5"/>
  <c r="K69" i="14"/>
  <c r="K73"/>
  <c r="L39" i="24"/>
  <c r="L38" s="1"/>
  <c r="L26"/>
  <c r="L29" s="1"/>
  <c r="H39" i="18"/>
  <c r="H38" s="1"/>
  <c r="H26"/>
  <c r="H29" s="1"/>
  <c r="F73" i="14"/>
  <c r="F69"/>
  <c r="G26" i="24"/>
  <c r="G29" s="1"/>
  <c r="G39"/>
  <c r="G38" s="1"/>
  <c r="E39"/>
  <c r="E38" s="1"/>
  <c r="E26"/>
  <c r="H72" i="14"/>
  <c r="L11" i="15"/>
  <c r="H68" i="14"/>
  <c r="H66"/>
  <c r="C22" i="23"/>
  <c r="D22" s="1"/>
  <c r="A24"/>
  <c r="C24" i="9"/>
  <c r="D24" s="1"/>
  <c r="A26"/>
  <c r="H11" i="15"/>
  <c r="D72" i="14"/>
  <c r="D74" s="1"/>
  <c r="D66"/>
  <c r="G19" i="18"/>
  <c r="G5"/>
  <c r="G18" s="1"/>
  <c r="G52" s="1"/>
  <c r="G47" s="1"/>
  <c r="M26" i="24"/>
  <c r="M29" s="1"/>
  <c r="M39"/>
  <c r="M38" s="1"/>
  <c r="J39"/>
  <c r="J38" s="1"/>
  <c r="J26"/>
  <c r="J29" s="1"/>
  <c r="J39" i="18"/>
  <c r="J38" s="1"/>
  <c r="J26"/>
  <c r="H73" i="14"/>
  <c r="H74" s="1"/>
  <c r="H69"/>
  <c r="F39" i="18"/>
  <c r="F38" s="1"/>
  <c r="F26"/>
  <c r="E73" i="14"/>
  <c r="E69"/>
  <c r="K39" i="24"/>
  <c r="K38" s="1"/>
  <c r="K26"/>
  <c r="K29" s="1"/>
  <c r="C24" i="22"/>
  <c r="A26"/>
  <c r="L5" i="18"/>
  <c r="L19"/>
  <c r="D31" i="12"/>
  <c r="E55" i="18"/>
  <c r="E20"/>
  <c r="E55" i="24"/>
  <c r="E20"/>
  <c r="E29" s="1"/>
  <c r="J68" i="14"/>
  <c r="N11" i="15"/>
  <c r="J72" i="14"/>
  <c r="J66"/>
  <c r="I11" i="15"/>
  <c r="I12" s="1"/>
  <c r="E72" i="14"/>
  <c r="E68"/>
  <c r="E66"/>
  <c r="E29" i="13"/>
  <c r="E18"/>
  <c r="A36" i="7"/>
  <c r="C34"/>
  <c r="D34" s="1"/>
  <c r="H12" i="15"/>
  <c r="L26" i="18"/>
  <c r="L39"/>
  <c r="L38" s="1"/>
  <c r="G39"/>
  <c r="G38" s="1"/>
  <c r="G26"/>
  <c r="G29" s="1"/>
  <c r="A21" i="10"/>
  <c r="C19"/>
  <c r="D19" s="1"/>
  <c r="E19" i="18"/>
  <c r="E5"/>
  <c r="J11" i="15"/>
  <c r="J12" s="1"/>
  <c r="F72" i="14"/>
  <c r="F68"/>
  <c r="F66"/>
  <c r="C63"/>
  <c r="D23" i="8"/>
  <c r="D27" i="13"/>
  <c r="D34" i="8"/>
  <c r="D48"/>
  <c r="D47" s="1"/>
  <c r="L69" i="14"/>
  <c r="L70" s="1"/>
  <c r="L73"/>
  <c r="L74" s="1"/>
  <c r="L66"/>
  <c r="M26" i="18"/>
  <c r="M29" s="1"/>
  <c r="M39"/>
  <c r="M38" s="1"/>
  <c r="I73" i="14"/>
  <c r="I69"/>
  <c r="I26" i="18"/>
  <c r="I39"/>
  <c r="I38" s="1"/>
  <c r="I26" i="24"/>
  <c r="I29" s="1"/>
  <c r="I39"/>
  <c r="I38" s="1"/>
  <c r="F39"/>
  <c r="F38" s="1"/>
  <c r="F26"/>
  <c r="F29" s="1"/>
  <c r="K26" i="18"/>
  <c r="K39"/>
  <c r="K38" s="1"/>
  <c r="J73" i="14"/>
  <c r="J69"/>
  <c r="K72"/>
  <c r="K68"/>
  <c r="K70" s="1"/>
  <c r="O11" i="15"/>
  <c r="O12" s="1"/>
  <c r="K66" i="14"/>
  <c r="C33" i="12"/>
  <c r="D33" s="1"/>
  <c r="A35"/>
  <c r="M11" i="15"/>
  <c r="M12" s="1"/>
  <c r="I68" i="14"/>
  <c r="I72"/>
  <c r="I66"/>
  <c r="J5" i="18"/>
  <c r="J19"/>
  <c r="K19"/>
  <c r="K5"/>
  <c r="F5"/>
  <c r="F19"/>
  <c r="C26" i="4"/>
  <c r="A32"/>
  <c r="C38" i="6"/>
  <c r="A44"/>
  <c r="L12" i="15"/>
  <c r="N12"/>
  <c r="C26" i="20"/>
  <c r="A32"/>
  <c r="C26" i="21"/>
  <c r="D26" s="1"/>
  <c r="A32"/>
  <c r="D26" i="19"/>
  <c r="D28" s="1"/>
  <c r="C27"/>
  <c r="D28" i="21"/>
  <c r="C38" i="3"/>
  <c r="A44"/>
  <c r="A34" i="19"/>
  <c r="C32"/>
  <c r="C27" i="21" l="1"/>
  <c r="D36" i="2"/>
  <c r="C38"/>
  <c r="D38" s="1"/>
  <c r="A44"/>
  <c r="E74" i="14"/>
  <c r="M35" i="13"/>
  <c r="M33" i="18"/>
  <c r="M33" i="24"/>
  <c r="J33" i="18"/>
  <c r="J33" i="24"/>
  <c r="J35" i="13"/>
  <c r="I33" i="24"/>
  <c r="I35" i="13"/>
  <c r="I33" i="18"/>
  <c r="C44" i="6"/>
  <c r="A46"/>
  <c r="C32" i="4"/>
  <c r="A34"/>
  <c r="K29" i="18"/>
  <c r="K18"/>
  <c r="K52" s="1"/>
  <c r="K47" s="1"/>
  <c r="C35" i="12"/>
  <c r="D35" s="1"/>
  <c r="A37"/>
  <c r="E34" i="8"/>
  <c r="D30" i="24"/>
  <c r="D35" s="1"/>
  <c r="D30" i="18"/>
  <c r="D35" s="1"/>
  <c r="D30" i="13"/>
  <c r="D38" s="1"/>
  <c r="E18" i="18"/>
  <c r="E53" s="1"/>
  <c r="E29"/>
  <c r="F33" i="24"/>
  <c r="G33"/>
  <c r="H33" i="18"/>
  <c r="H35" i="13"/>
  <c r="G35"/>
  <c r="G33" i="18"/>
  <c r="H33" i="24"/>
  <c r="F35" i="13"/>
  <c r="F33" i="18"/>
  <c r="C26" i="22"/>
  <c r="D26" s="1"/>
  <c r="A32"/>
  <c r="I70" i="14"/>
  <c r="E70"/>
  <c r="H70"/>
  <c r="F74"/>
  <c r="L33" i="24"/>
  <c r="L33" i="18"/>
  <c r="K35" i="13"/>
  <c r="K33" i="18"/>
  <c r="K33" i="24"/>
  <c r="D38" i="6"/>
  <c r="D40" s="1"/>
  <c r="C39"/>
  <c r="D26" i="4"/>
  <c r="D28" s="1"/>
  <c r="C27"/>
  <c r="F29" i="18"/>
  <c r="F18"/>
  <c r="F53" s="1"/>
  <c r="J18"/>
  <c r="J52" s="1"/>
  <c r="J47" s="1"/>
  <c r="J29"/>
  <c r="D26" i="13"/>
  <c r="D29" s="1"/>
  <c r="D34"/>
  <c r="D36" s="1"/>
  <c r="D37"/>
  <c r="D27" i="24"/>
  <c r="C62" i="14"/>
  <c r="C66" s="1"/>
  <c r="D27" i="18"/>
  <c r="C21" i="10"/>
  <c r="A23"/>
  <c r="C36" i="7"/>
  <c r="D36" s="1"/>
  <c r="A38"/>
  <c r="L18" i="18"/>
  <c r="L52" s="1"/>
  <c r="L47" s="1"/>
  <c r="L29"/>
  <c r="D24" i="22"/>
  <c r="C26" i="9"/>
  <c r="A32"/>
  <c r="C24" i="23"/>
  <c r="A26"/>
  <c r="I18" i="18"/>
  <c r="I52" s="1"/>
  <c r="I47" s="1"/>
  <c r="I29"/>
  <c r="L35" i="13"/>
  <c r="I74" i="14"/>
  <c r="J74"/>
  <c r="J70"/>
  <c r="F70"/>
  <c r="K74"/>
  <c r="C34" i="19"/>
  <c r="D34" s="1"/>
  <c r="A36"/>
  <c r="D38" i="3"/>
  <c r="D40" s="1"/>
  <c r="C39"/>
  <c r="A34" i="21"/>
  <c r="C32"/>
  <c r="A34" i="20"/>
  <c r="C32"/>
  <c r="D32" i="19"/>
  <c r="A46" i="3"/>
  <c r="C44"/>
  <c r="D26" i="20"/>
  <c r="D28" s="1"/>
  <c r="C27"/>
  <c r="D40" i="2" l="1"/>
  <c r="C39"/>
  <c r="C27" i="22"/>
  <c r="C44" i="2"/>
  <c r="D44" s="1"/>
  <c r="A46"/>
  <c r="C26" i="23"/>
  <c r="D26" s="1"/>
  <c r="A32"/>
  <c r="C38" i="7"/>
  <c r="A44"/>
  <c r="A25" i="10"/>
  <c r="C23"/>
  <c r="D23" s="1"/>
  <c r="D32" i="18"/>
  <c r="D34" s="1"/>
  <c r="D39"/>
  <c r="D38" s="1"/>
  <c r="D36"/>
  <c r="D26"/>
  <c r="D36" i="24"/>
  <c r="D32"/>
  <c r="D34" s="1"/>
  <c r="D26"/>
  <c r="D39"/>
  <c r="D38" s="1"/>
  <c r="D24" i="23"/>
  <c r="D28" s="1"/>
  <c r="D26" i="9"/>
  <c r="D28" s="1"/>
  <c r="C27"/>
  <c r="D21" i="10"/>
  <c r="A34" i="22"/>
  <c r="C32"/>
  <c r="E30" i="13"/>
  <c r="E38" s="1"/>
  <c r="E30" i="18"/>
  <c r="E35" s="1"/>
  <c r="F34" i="8"/>
  <c r="E30" i="24"/>
  <c r="E35" s="1"/>
  <c r="D32" i="4"/>
  <c r="D44" i="6"/>
  <c r="D28" i="22"/>
  <c r="A34" i="9"/>
  <c r="C32"/>
  <c r="D32" s="1"/>
  <c r="C37" i="12"/>
  <c r="A43"/>
  <c r="C34" i="4"/>
  <c r="D34" s="1"/>
  <c r="A36"/>
  <c r="C46" i="6"/>
  <c r="D46" s="1"/>
  <c r="A48"/>
  <c r="D44" i="3"/>
  <c r="C34" i="20"/>
  <c r="D34" s="1"/>
  <c r="A36"/>
  <c r="A36" i="21"/>
  <c r="C34"/>
  <c r="D34" s="1"/>
  <c r="C46" i="3"/>
  <c r="D46" s="1"/>
  <c r="A48"/>
  <c r="D32" i="20"/>
  <c r="D32" i="21"/>
  <c r="C36" i="19"/>
  <c r="A38"/>
  <c r="C27" i="23" l="1"/>
  <c r="A48" i="2"/>
  <c r="C46"/>
  <c r="C48" i="6"/>
  <c r="D48" s="1"/>
  <c r="A50"/>
  <c r="C36" i="4"/>
  <c r="A38"/>
  <c r="C43" i="12"/>
  <c r="A45"/>
  <c r="D37"/>
  <c r="D39" s="1"/>
  <c r="C38"/>
  <c r="A36" i="9"/>
  <c r="C34"/>
  <c r="D34" s="1"/>
  <c r="F30" i="18"/>
  <c r="F35" s="1"/>
  <c r="F30" i="13"/>
  <c r="F38" s="1"/>
  <c r="F30" i="24"/>
  <c r="F35" s="1"/>
  <c r="G34" i="8"/>
  <c r="C34" i="22"/>
  <c r="D34" s="1"/>
  <c r="A36"/>
  <c r="D60" i="24"/>
  <c r="D29"/>
  <c r="A31" i="10"/>
  <c r="C25"/>
  <c r="D38" i="7"/>
  <c r="D40" s="1"/>
  <c r="C39"/>
  <c r="E25" i="8" s="1"/>
  <c r="E14" i="13" s="1"/>
  <c r="D32" i="22"/>
  <c r="D60" i="18"/>
  <c r="D29"/>
  <c r="A46" i="7"/>
  <c r="C44"/>
  <c r="D44" s="1"/>
  <c r="C32" i="23"/>
  <c r="D32" s="1"/>
  <c r="A34"/>
  <c r="D36" i="19"/>
  <c r="C38"/>
  <c r="D38" s="1"/>
  <c r="A44"/>
  <c r="C48" i="3"/>
  <c r="D48" s="1"/>
  <c r="A50"/>
  <c r="A38" i="21"/>
  <c r="C36"/>
  <c r="C36" i="20"/>
  <c r="A38"/>
  <c r="E23" i="8" l="1"/>
  <c r="E14" i="18"/>
  <c r="A50" i="2"/>
  <c r="C48"/>
  <c r="D48" s="1"/>
  <c r="E14" i="24"/>
  <c r="D46" i="2"/>
  <c r="A48" i="7"/>
  <c r="C46"/>
  <c r="D46" s="1"/>
  <c r="A36" i="23"/>
  <c r="C34"/>
  <c r="D34" s="1"/>
  <c r="C31" i="10"/>
  <c r="D31" s="1"/>
  <c r="A33"/>
  <c r="C36" i="9"/>
  <c r="D36" s="1"/>
  <c r="A38"/>
  <c r="D43" i="12"/>
  <c r="D36" i="4"/>
  <c r="E49" i="8"/>
  <c r="E47" s="1"/>
  <c r="C39" i="19"/>
  <c r="D25" i="10"/>
  <c r="D27" s="1"/>
  <c r="C26"/>
  <c r="C36" i="22"/>
  <c r="A38"/>
  <c r="G30" i="18"/>
  <c r="G35" s="1"/>
  <c r="G30" i="13"/>
  <c r="G38" s="1"/>
  <c r="G30" i="24"/>
  <c r="G35" s="1"/>
  <c r="H34" i="8"/>
  <c r="C45" i="12"/>
  <c r="D45" s="1"/>
  <c r="A47"/>
  <c r="C38" i="4"/>
  <c r="D38" s="1"/>
  <c r="A44"/>
  <c r="C50" i="6"/>
  <c r="A56"/>
  <c r="D36" i="20"/>
  <c r="E34" i="13"/>
  <c r="E36" s="1"/>
  <c r="E37"/>
  <c r="A44" i="20"/>
  <c r="C38"/>
  <c r="D38" s="1"/>
  <c r="E32" i="18"/>
  <c r="E34" s="1"/>
  <c r="E36"/>
  <c r="E32" i="24"/>
  <c r="E34" s="1"/>
  <c r="E36"/>
  <c r="A44" i="21"/>
  <c r="C38"/>
  <c r="D38" s="1"/>
  <c r="D40" i="19"/>
  <c r="D36" i="21"/>
  <c r="D40" s="1"/>
  <c r="A56" i="3"/>
  <c r="C50"/>
  <c r="C44" i="19"/>
  <c r="A46"/>
  <c r="A56" i="2" l="1"/>
  <c r="C50"/>
  <c r="D50" s="1"/>
  <c r="D52" s="1"/>
  <c r="D50" i="6"/>
  <c r="D52" s="1"/>
  <c r="C51"/>
  <c r="D36" i="22"/>
  <c r="A38" i="23"/>
  <c r="C36"/>
  <c r="A50" i="7"/>
  <c r="C48"/>
  <c r="D48" s="1"/>
  <c r="C39" i="21"/>
  <c r="D40" i="4"/>
  <c r="C56" i="6"/>
  <c r="A58"/>
  <c r="A46" i="4"/>
  <c r="C44"/>
  <c r="C47" i="12"/>
  <c r="D47" s="1"/>
  <c r="A49"/>
  <c r="H30" i="24"/>
  <c r="H35" s="1"/>
  <c r="I34" i="8"/>
  <c r="H30" i="18"/>
  <c r="H35" s="1"/>
  <c r="H30" i="13"/>
  <c r="H38" s="1"/>
  <c r="A44" i="22"/>
  <c r="C38"/>
  <c r="D38" s="1"/>
  <c r="D40" s="1"/>
  <c r="A44" i="9"/>
  <c r="C38"/>
  <c r="A35" i="10"/>
  <c r="C33"/>
  <c r="C39" i="4"/>
  <c r="C46" i="19"/>
  <c r="D46" s="1"/>
  <c r="A48"/>
  <c r="A46" i="21"/>
  <c r="C44"/>
  <c r="C44" i="20"/>
  <c r="A46"/>
  <c r="D40"/>
  <c r="D50" i="3"/>
  <c r="D52" s="1"/>
  <c r="C51"/>
  <c r="D44" i="19"/>
  <c r="A58" i="3"/>
  <c r="C56"/>
  <c r="C39" i="20"/>
  <c r="C56" i="2" l="1"/>
  <c r="D56" s="1"/>
  <c r="A58"/>
  <c r="C51"/>
  <c r="D33" i="10"/>
  <c r="C39" i="9"/>
  <c r="D38"/>
  <c r="D40" s="1"/>
  <c r="I30" i="13"/>
  <c r="I38" s="1"/>
  <c r="I30" i="18"/>
  <c r="I35" s="1"/>
  <c r="J34" i="8"/>
  <c r="I30" i="24"/>
  <c r="I35" s="1"/>
  <c r="C49" i="12"/>
  <c r="D49" s="1"/>
  <c r="D51" s="1"/>
  <c r="A55"/>
  <c r="D44" i="4"/>
  <c r="C58" i="6"/>
  <c r="D58" s="1"/>
  <c r="A60"/>
  <c r="A56" i="7"/>
  <c r="C50"/>
  <c r="C38" i="23"/>
  <c r="D38" s="1"/>
  <c r="A44"/>
  <c r="C50" i="12"/>
  <c r="C35" i="10"/>
  <c r="D35" s="1"/>
  <c r="A37"/>
  <c r="C44" i="9"/>
  <c r="D44" s="1"/>
  <c r="A46"/>
  <c r="C44" i="22"/>
  <c r="A46"/>
  <c r="C46" i="4"/>
  <c r="D46" s="1"/>
  <c r="A48"/>
  <c r="D56" i="6"/>
  <c r="D36" i="23"/>
  <c r="D40" s="1"/>
  <c r="C39" i="22"/>
  <c r="C58" i="3"/>
  <c r="D58" s="1"/>
  <c r="A60"/>
  <c r="D56"/>
  <c r="D44" i="20"/>
  <c r="C46" i="21"/>
  <c r="D46" s="1"/>
  <c r="A48"/>
  <c r="C46" i="20"/>
  <c r="D46" s="1"/>
  <c r="A48"/>
  <c r="D44" i="21"/>
  <c r="C48" i="19"/>
  <c r="A50"/>
  <c r="A60" i="2" l="1"/>
  <c r="C58"/>
  <c r="D44" i="22"/>
  <c r="A46" i="23"/>
  <c r="C44"/>
  <c r="D50" i="7"/>
  <c r="D52" s="1"/>
  <c r="C51"/>
  <c r="F25" i="8" s="1"/>
  <c r="F14" i="18" s="1"/>
  <c r="C60" i="6"/>
  <c r="A62"/>
  <c r="C55" i="12"/>
  <c r="A57"/>
  <c r="C39" i="23"/>
  <c r="C48" i="4"/>
  <c r="D48" s="1"/>
  <c r="A50"/>
  <c r="C50" s="1"/>
  <c r="C46" i="22"/>
  <c r="D46" s="1"/>
  <c r="A48"/>
  <c r="C46" i="9"/>
  <c r="D46" s="1"/>
  <c r="A48"/>
  <c r="C37" i="10"/>
  <c r="D37" s="1"/>
  <c r="D39" s="1"/>
  <c r="A43"/>
  <c r="A58" i="7"/>
  <c r="C56"/>
  <c r="D56" s="1"/>
  <c r="J30" i="24"/>
  <c r="J35" s="1"/>
  <c r="J30" i="18"/>
  <c r="J35" s="1"/>
  <c r="J30" i="13"/>
  <c r="J38" s="1"/>
  <c r="K34" i="8"/>
  <c r="D52" i="4"/>
  <c r="A56" i="19"/>
  <c r="C50"/>
  <c r="D50" s="1"/>
  <c r="D48"/>
  <c r="C51"/>
  <c r="C48" i="20"/>
  <c r="D48" s="1"/>
  <c r="A50"/>
  <c r="A50" i="21"/>
  <c r="C48"/>
  <c r="A62" i="3"/>
  <c r="C60"/>
  <c r="F23" i="8" l="1"/>
  <c r="F14" i="13"/>
  <c r="F37" s="1"/>
  <c r="F49" i="8"/>
  <c r="F47" s="1"/>
  <c r="F14" i="24"/>
  <c r="F36" s="1"/>
  <c r="A62" i="2"/>
  <c r="C60"/>
  <c r="D60" s="1"/>
  <c r="C38" i="10"/>
  <c r="D58" i="2"/>
  <c r="A60" i="7"/>
  <c r="C58"/>
  <c r="D58" s="1"/>
  <c r="D55" i="12"/>
  <c r="D60" i="6"/>
  <c r="C46" i="23"/>
  <c r="D46" s="1"/>
  <c r="A48"/>
  <c r="C51" i="4"/>
  <c r="L34" i="8"/>
  <c r="K30" i="24"/>
  <c r="K35" s="1"/>
  <c r="K30" i="13"/>
  <c r="K38" s="1"/>
  <c r="K30" i="18"/>
  <c r="K35" s="1"/>
  <c r="C43" i="10"/>
  <c r="D43" s="1"/>
  <c r="A45"/>
  <c r="C48" i="9"/>
  <c r="D48" s="1"/>
  <c r="A50"/>
  <c r="A50" i="22"/>
  <c r="C48"/>
  <c r="D48" s="1"/>
  <c r="C57" i="12"/>
  <c r="D57" s="1"/>
  <c r="A59"/>
  <c r="C62" i="6"/>
  <c r="D62" s="1"/>
  <c r="A68"/>
  <c r="D44" i="23"/>
  <c r="C62" i="3"/>
  <c r="D62" s="1"/>
  <c r="A68"/>
  <c r="A56" i="21"/>
  <c r="C50"/>
  <c r="D50" s="1"/>
  <c r="D60" i="3"/>
  <c r="D64" s="1"/>
  <c r="D48" i="21"/>
  <c r="D52" s="1"/>
  <c r="A56" i="20"/>
  <c r="C50"/>
  <c r="D50" s="1"/>
  <c r="D52" s="1"/>
  <c r="F32" i="18"/>
  <c r="F34" s="1"/>
  <c r="F36"/>
  <c r="A58" i="19"/>
  <c r="C56"/>
  <c r="D52"/>
  <c r="C51" i="20" l="1"/>
  <c r="F34" i="13"/>
  <c r="F36" s="1"/>
  <c r="F32" i="24"/>
  <c r="F34" s="1"/>
  <c r="D58" i="4"/>
  <c r="D55" s="1"/>
  <c r="C51" i="21"/>
  <c r="C62" i="2"/>
  <c r="D62" s="1"/>
  <c r="D64" s="1"/>
  <c r="A68"/>
  <c r="C63"/>
  <c r="C68" i="6"/>
  <c r="A70"/>
  <c r="C59" i="12"/>
  <c r="D59" s="1"/>
  <c r="A61"/>
  <c r="A56" i="9"/>
  <c r="C50"/>
  <c r="A47" i="10"/>
  <c r="C45"/>
  <c r="A62" i="7"/>
  <c r="C60"/>
  <c r="D64" i="6"/>
  <c r="C50" i="22"/>
  <c r="A56"/>
  <c r="M34" i="8"/>
  <c r="L30" i="18"/>
  <c r="L35" s="1"/>
  <c r="L30" i="13"/>
  <c r="L38" s="1"/>
  <c r="L30" i="24"/>
  <c r="L35" s="1"/>
  <c r="A50" i="23"/>
  <c r="C48"/>
  <c r="C63" i="6"/>
  <c r="D56" i="19"/>
  <c r="C68" i="3"/>
  <c r="A70"/>
  <c r="C63"/>
  <c r="C58" i="19"/>
  <c r="D58" s="1"/>
  <c r="A60"/>
  <c r="C56" i="20"/>
  <c r="A58"/>
  <c r="A58" i="21"/>
  <c r="C56"/>
  <c r="A70" i="2" l="1"/>
  <c r="C68"/>
  <c r="D68" s="1"/>
  <c r="D48" i="23"/>
  <c r="A58" i="22"/>
  <c r="C56"/>
  <c r="D60" i="7"/>
  <c r="C50" i="23"/>
  <c r="D50" s="1"/>
  <c r="A56"/>
  <c r="M30" i="24"/>
  <c r="M35" s="1"/>
  <c r="M30" i="18"/>
  <c r="M35" s="1"/>
  <c r="M30" i="13"/>
  <c r="M38" s="1"/>
  <c r="D50" i="22"/>
  <c r="D52" s="1"/>
  <c r="C51"/>
  <c r="C62" i="7"/>
  <c r="D62" s="1"/>
  <c r="A68"/>
  <c r="C47" i="10"/>
  <c r="D47" s="1"/>
  <c r="A49"/>
  <c r="C56" i="9"/>
  <c r="D56" s="1"/>
  <c r="A58"/>
  <c r="D68" i="6"/>
  <c r="D45" i="10"/>
  <c r="D50" i="9"/>
  <c r="D52" s="1"/>
  <c r="C51"/>
  <c r="C61" i="12"/>
  <c r="A67"/>
  <c r="C70" i="6"/>
  <c r="D70" s="1"/>
  <c r="A72"/>
  <c r="D56" i="21"/>
  <c r="C58" i="20"/>
  <c r="D58" s="1"/>
  <c r="A60"/>
  <c r="C58" i="21"/>
  <c r="D58" s="1"/>
  <c r="A60"/>
  <c r="D56" i="20"/>
  <c r="D68" i="3"/>
  <c r="C60" i="19"/>
  <c r="D60" s="1"/>
  <c r="A62"/>
  <c r="C70" i="3"/>
  <c r="D70" s="1"/>
  <c r="A72"/>
  <c r="A72" i="2" l="1"/>
  <c r="C70"/>
  <c r="D70" s="1"/>
  <c r="C51" i="23"/>
  <c r="C72" i="6"/>
  <c r="A74"/>
  <c r="C67" i="12"/>
  <c r="A69"/>
  <c r="D61"/>
  <c r="D63" s="1"/>
  <c r="C62"/>
  <c r="C58" i="9"/>
  <c r="D58" s="1"/>
  <c r="A60"/>
  <c r="A55" i="10"/>
  <c r="C49"/>
  <c r="C68" i="7"/>
  <c r="D68" s="1"/>
  <c r="A70"/>
  <c r="C58" i="22"/>
  <c r="D58" s="1"/>
  <c r="A60"/>
  <c r="D64" i="7"/>
  <c r="D52" i="23"/>
  <c r="C56"/>
  <c r="A58"/>
  <c r="D56" i="22"/>
  <c r="C63" i="7"/>
  <c r="G25" i="8" s="1"/>
  <c r="G14" i="18" s="1"/>
  <c r="A74" i="3"/>
  <c r="C72"/>
  <c r="D72" s="1"/>
  <c r="C62" i="19"/>
  <c r="A68"/>
  <c r="C60" i="21"/>
  <c r="A62"/>
  <c r="A62" i="20"/>
  <c r="C60"/>
  <c r="C72" i="2" l="1"/>
  <c r="A74"/>
  <c r="A60" i="23"/>
  <c r="C58"/>
  <c r="D58" s="1"/>
  <c r="C55" i="10"/>
  <c r="D55" s="1"/>
  <c r="A57"/>
  <c r="D67" i="12"/>
  <c r="D72" i="6"/>
  <c r="G14" i="24"/>
  <c r="G36" s="1"/>
  <c r="G23" i="8"/>
  <c r="G14" i="13"/>
  <c r="G37" s="1"/>
  <c r="G49" i="8"/>
  <c r="G47" s="1"/>
  <c r="D56" i="23"/>
  <c r="A62" i="22"/>
  <c r="C60"/>
  <c r="A72" i="7"/>
  <c r="C70"/>
  <c r="D70" s="1"/>
  <c r="D49" i="10"/>
  <c r="D51" s="1"/>
  <c r="C50"/>
  <c r="A62" i="9"/>
  <c r="C60"/>
  <c r="D60" s="1"/>
  <c r="C69" i="12"/>
  <c r="D69" s="1"/>
  <c r="A71"/>
  <c r="C74" i="6"/>
  <c r="D74" s="1"/>
  <c r="A80"/>
  <c r="D60" i="20"/>
  <c r="C62" i="21"/>
  <c r="D62" s="1"/>
  <c r="A68"/>
  <c r="C68" i="19"/>
  <c r="A70"/>
  <c r="G32" i="24"/>
  <c r="G34" s="1"/>
  <c r="C62" i="20"/>
  <c r="D62" s="1"/>
  <c r="A68"/>
  <c r="D60" i="21"/>
  <c r="D64" s="1"/>
  <c r="C63"/>
  <c r="D62" i="19"/>
  <c r="D64" s="1"/>
  <c r="C63"/>
  <c r="G34" i="13"/>
  <c r="G36" s="1"/>
  <c r="G36" i="18"/>
  <c r="G32"/>
  <c r="G34" s="1"/>
  <c r="C74" i="3"/>
  <c r="A80"/>
  <c r="D72" i="2" l="1"/>
  <c r="A80"/>
  <c r="C74"/>
  <c r="D74" s="1"/>
  <c r="D76" s="1"/>
  <c r="A68" i="9"/>
  <c r="C62"/>
  <c r="C72" i="7"/>
  <c r="D72" s="1"/>
  <c r="A74"/>
  <c r="A68" i="22"/>
  <c r="C62"/>
  <c r="D62" s="1"/>
  <c r="C60" i="23"/>
  <c r="A62"/>
  <c r="D76" i="6"/>
  <c r="C80"/>
  <c r="A82"/>
  <c r="C71" i="12"/>
  <c r="D71" s="1"/>
  <c r="A73"/>
  <c r="D60" i="22"/>
  <c r="C63"/>
  <c r="C57" i="10"/>
  <c r="A59"/>
  <c r="C75" i="6"/>
  <c r="A82" i="3"/>
  <c r="C80"/>
  <c r="D74"/>
  <c r="D76" s="1"/>
  <c r="C75"/>
  <c r="D68" i="19"/>
  <c r="D64" i="20"/>
  <c r="A70"/>
  <c r="C68"/>
  <c r="C70" i="19"/>
  <c r="D70" s="1"/>
  <c r="A72"/>
  <c r="C68" i="21"/>
  <c r="A70"/>
  <c r="C63" i="20"/>
  <c r="C80" i="2" l="1"/>
  <c r="D80" s="1"/>
  <c r="A82"/>
  <c r="C75"/>
  <c r="D57" i="10"/>
  <c r="D80" i="6"/>
  <c r="D60" i="23"/>
  <c r="C68" i="22"/>
  <c r="A70"/>
  <c r="A70" i="9"/>
  <c r="C68"/>
  <c r="D68" s="1"/>
  <c r="D64" i="22"/>
  <c r="C59" i="10"/>
  <c r="D59" s="1"/>
  <c r="A61"/>
  <c r="C73" i="12"/>
  <c r="A79"/>
  <c r="C82" i="6"/>
  <c r="D82" s="1"/>
  <c r="A84"/>
  <c r="C62" i="23"/>
  <c r="D62" s="1"/>
  <c r="D64" s="1"/>
  <c r="A68"/>
  <c r="A80" i="7"/>
  <c r="C74"/>
  <c r="C63" i="9"/>
  <c r="D62"/>
  <c r="D64" s="1"/>
  <c r="D68" i="21"/>
  <c r="A72" i="20"/>
  <c r="C70"/>
  <c r="D70" s="1"/>
  <c r="C82" i="3"/>
  <c r="D82" s="1"/>
  <c r="A84"/>
  <c r="C70" i="21"/>
  <c r="D70" s="1"/>
  <c r="A72"/>
  <c r="A74" i="19"/>
  <c r="C72"/>
  <c r="D72" s="1"/>
  <c r="D68" i="20"/>
  <c r="D80" i="3"/>
  <c r="C82" i="2" l="1"/>
  <c r="A84"/>
  <c r="A82" i="7"/>
  <c r="C80"/>
  <c r="D80" s="1"/>
  <c r="D73" i="12"/>
  <c r="D75" s="1"/>
  <c r="C74"/>
  <c r="A72" i="9"/>
  <c r="C70"/>
  <c r="D70" s="1"/>
  <c r="D68" i="22"/>
  <c r="C75" i="7"/>
  <c r="H25" i="8" s="1"/>
  <c r="H23" s="1"/>
  <c r="D74" i="7"/>
  <c r="D76" s="1"/>
  <c r="C68" i="23"/>
  <c r="A70"/>
  <c r="C84" i="6"/>
  <c r="D84" s="1"/>
  <c r="A86"/>
  <c r="C79" i="12"/>
  <c r="A81"/>
  <c r="C61" i="10"/>
  <c r="D61" s="1"/>
  <c r="D63" s="1"/>
  <c r="A67"/>
  <c r="A72" i="22"/>
  <c r="C70"/>
  <c r="D70" s="1"/>
  <c r="C63" i="23"/>
  <c r="C74" i="19"/>
  <c r="A80"/>
  <c r="C72" i="20"/>
  <c r="A74"/>
  <c r="C72" i="21"/>
  <c r="D72" s="1"/>
  <c r="A74"/>
  <c r="C84" i="3"/>
  <c r="A86"/>
  <c r="H14" i="13" l="1"/>
  <c r="H34" s="1"/>
  <c r="H36" s="1"/>
  <c r="D82" i="2"/>
  <c r="H49" i="8"/>
  <c r="H47" s="1"/>
  <c r="C62" i="10"/>
  <c r="A86" i="2"/>
  <c r="C84"/>
  <c r="D84" s="1"/>
  <c r="A74" i="22"/>
  <c r="C72"/>
  <c r="C67" i="10"/>
  <c r="D67" s="1"/>
  <c r="A69"/>
  <c r="C81" i="12"/>
  <c r="D81" s="1"/>
  <c r="A83"/>
  <c r="C86" i="6"/>
  <c r="D86" s="1"/>
  <c r="D88" s="1"/>
  <c r="A92"/>
  <c r="C70" i="23"/>
  <c r="D70" s="1"/>
  <c r="A72"/>
  <c r="C72" i="9"/>
  <c r="D72" s="1"/>
  <c r="A74"/>
  <c r="A84" i="7"/>
  <c r="C82"/>
  <c r="D82" s="1"/>
  <c r="H14" i="24"/>
  <c r="H32" s="1"/>
  <c r="H34" s="1"/>
  <c r="H14" i="18"/>
  <c r="C87" i="6"/>
  <c r="D79" i="12"/>
  <c r="D68" i="23"/>
  <c r="A92" i="3"/>
  <c r="C86"/>
  <c r="D86" s="1"/>
  <c r="C74" i="21"/>
  <c r="D74" s="1"/>
  <c r="D76" s="1"/>
  <c r="A80"/>
  <c r="A80" i="20"/>
  <c r="C74"/>
  <c r="D74" s="1"/>
  <c r="C80" i="19"/>
  <c r="A82"/>
  <c r="H36" i="18"/>
  <c r="H32"/>
  <c r="H34" s="1"/>
  <c r="C75" i="21"/>
  <c r="D84" i="3"/>
  <c r="D88" s="1"/>
  <c r="C87"/>
  <c r="D72" i="20"/>
  <c r="D76" s="1"/>
  <c r="C75"/>
  <c r="D74" i="19"/>
  <c r="D76" s="1"/>
  <c r="C75"/>
  <c r="H37" i="13"/>
  <c r="H36" i="24" l="1"/>
  <c r="C86" i="2"/>
  <c r="D86" s="1"/>
  <c r="D88" s="1"/>
  <c r="A92"/>
  <c r="C87"/>
  <c r="A80" i="9"/>
  <c r="C74"/>
  <c r="C72" i="23"/>
  <c r="A74"/>
  <c r="A94" i="6"/>
  <c r="C92"/>
  <c r="C83" i="12"/>
  <c r="A85"/>
  <c r="C85" s="1"/>
  <c r="D85" s="1"/>
  <c r="C69" i="10"/>
  <c r="A71"/>
  <c r="D72" i="22"/>
  <c r="A86" i="7"/>
  <c r="C84"/>
  <c r="C74" i="22"/>
  <c r="D74" s="1"/>
  <c r="A80"/>
  <c r="C82" i="19"/>
  <c r="D82" s="1"/>
  <c r="A84"/>
  <c r="A82" i="21"/>
  <c r="C80"/>
  <c r="D80" i="19"/>
  <c r="C80" i="20"/>
  <c r="A82"/>
  <c r="C92" i="3"/>
  <c r="A94"/>
  <c r="C92" i="2" l="1"/>
  <c r="D92" s="1"/>
  <c r="A94"/>
  <c r="C80" i="22"/>
  <c r="A82"/>
  <c r="D84" i="7"/>
  <c r="D69" i="10"/>
  <c r="D83" i="12"/>
  <c r="D87" s="1"/>
  <c r="C86"/>
  <c r="D93" s="1"/>
  <c r="C94" i="6"/>
  <c r="D94" s="1"/>
  <c r="A96"/>
  <c r="D72" i="23"/>
  <c r="C80" i="9"/>
  <c r="D80" s="1"/>
  <c r="A82"/>
  <c r="D76" i="22"/>
  <c r="A92" i="7"/>
  <c r="C86"/>
  <c r="D86" s="1"/>
  <c r="A73" i="10"/>
  <c r="C71"/>
  <c r="D71" s="1"/>
  <c r="D92" i="6"/>
  <c r="C74" i="23"/>
  <c r="D74" s="1"/>
  <c r="A80"/>
  <c r="C75" i="9"/>
  <c r="D74"/>
  <c r="D76" s="1"/>
  <c r="C75" i="22"/>
  <c r="C94" i="3"/>
  <c r="D94" s="1"/>
  <c r="A96"/>
  <c r="A84" i="20"/>
  <c r="C82"/>
  <c r="D82" s="1"/>
  <c r="C82" i="21"/>
  <c r="D82" s="1"/>
  <c r="A84"/>
  <c r="D92" i="3"/>
  <c r="D80" i="20"/>
  <c r="D80" i="21"/>
  <c r="C84" i="19"/>
  <c r="A86"/>
  <c r="A96" i="2" l="1"/>
  <c r="C94"/>
  <c r="A82" i="23"/>
  <c r="C80"/>
  <c r="D80" i="22"/>
  <c r="D76" i="23"/>
  <c r="C87" i="7"/>
  <c r="I25" i="8" s="1"/>
  <c r="A79" i="10"/>
  <c r="C73"/>
  <c r="D73" s="1"/>
  <c r="D75" s="1"/>
  <c r="A94" i="7"/>
  <c r="C92"/>
  <c r="D92" s="1"/>
  <c r="C82" i="9"/>
  <c r="D82" s="1"/>
  <c r="A84"/>
  <c r="C96" i="6"/>
  <c r="A98"/>
  <c r="D97" i="12"/>
  <c r="D90"/>
  <c r="C82" i="22"/>
  <c r="D82" s="1"/>
  <c r="A84"/>
  <c r="C75" i="23"/>
  <c r="D88" i="7"/>
  <c r="D84" i="19"/>
  <c r="A86" i="20"/>
  <c r="C84"/>
  <c r="A92" i="19"/>
  <c r="C86"/>
  <c r="D86" s="1"/>
  <c r="C84" i="21"/>
  <c r="A86"/>
  <c r="C96" i="3"/>
  <c r="A98"/>
  <c r="A98" i="2" l="1"/>
  <c r="C96"/>
  <c r="D96" s="1"/>
  <c r="D94"/>
  <c r="D96" i="6"/>
  <c r="A96" i="7"/>
  <c r="C94"/>
  <c r="D94" s="1"/>
  <c r="A81" i="10"/>
  <c r="C79"/>
  <c r="D79" s="1"/>
  <c r="C82" i="23"/>
  <c r="D82" s="1"/>
  <c r="A84"/>
  <c r="C74" i="10"/>
  <c r="A86" i="22"/>
  <c r="C84"/>
  <c r="D84" s="1"/>
  <c r="C98" i="6"/>
  <c r="D98" s="1"/>
  <c r="A104"/>
  <c r="C84" i="9"/>
  <c r="D84" s="1"/>
  <c r="A86"/>
  <c r="I14" i="18"/>
  <c r="I49" i="8"/>
  <c r="I47" s="1"/>
  <c r="I14" i="24"/>
  <c r="I14" i="13"/>
  <c r="I23" i="8"/>
  <c r="D80" i="23"/>
  <c r="C98" i="3"/>
  <c r="D98" s="1"/>
  <c r="A104"/>
  <c r="C86" i="21"/>
  <c r="D86" s="1"/>
  <c r="A92"/>
  <c r="C86" i="20"/>
  <c r="D86" s="1"/>
  <c r="A92"/>
  <c r="D88" i="19"/>
  <c r="D96" i="3"/>
  <c r="C99"/>
  <c r="D84" i="21"/>
  <c r="C87"/>
  <c r="A94" i="19"/>
  <c r="C92"/>
  <c r="D84" i="20"/>
  <c r="C87"/>
  <c r="C87" i="19"/>
  <c r="D88" i="20" l="1"/>
  <c r="D88" i="21"/>
  <c r="D100" i="3"/>
  <c r="A104" i="2"/>
  <c r="C98"/>
  <c r="I34" i="13"/>
  <c r="I36" s="1"/>
  <c r="I37"/>
  <c r="C86" i="9"/>
  <c r="A92"/>
  <c r="C104" i="6"/>
  <c r="A106"/>
  <c r="C81" i="10"/>
  <c r="A83"/>
  <c r="C96" i="7"/>
  <c r="D96" s="1"/>
  <c r="A98"/>
  <c r="D100" i="6"/>
  <c r="I36" i="24"/>
  <c r="I32"/>
  <c r="I34" s="1"/>
  <c r="I32" i="18"/>
  <c r="I34" s="1"/>
  <c r="I36"/>
  <c r="A92" i="22"/>
  <c r="C86"/>
  <c r="C84" i="23"/>
  <c r="A86"/>
  <c r="C99" i="6"/>
  <c r="D92" i="19"/>
  <c r="A96"/>
  <c r="C94"/>
  <c r="D94" s="1"/>
  <c r="A94" i="20"/>
  <c r="C92"/>
  <c r="C92" i="21"/>
  <c r="A94"/>
  <c r="A106" i="3"/>
  <c r="C104"/>
  <c r="A106" i="2" l="1"/>
  <c r="C104"/>
  <c r="D104" s="1"/>
  <c r="D98"/>
  <c r="D100" s="1"/>
  <c r="C99"/>
  <c r="D84" i="23"/>
  <c r="A94" i="22"/>
  <c r="C92"/>
  <c r="A92" i="23"/>
  <c r="C86"/>
  <c r="D86" s="1"/>
  <c r="D86" i="22"/>
  <c r="D88" s="1"/>
  <c r="C87"/>
  <c r="D81" i="10"/>
  <c r="D104" i="6"/>
  <c r="D86" i="9"/>
  <c r="D88" s="1"/>
  <c r="C87"/>
  <c r="C98" i="7"/>
  <c r="A104"/>
  <c r="A85" i="10"/>
  <c r="C83"/>
  <c r="D83" s="1"/>
  <c r="C106" i="6"/>
  <c r="D106" s="1"/>
  <c r="A108"/>
  <c r="C92" i="9"/>
  <c r="D92" s="1"/>
  <c r="A94"/>
  <c r="D104" i="3"/>
  <c r="C94" i="21"/>
  <c r="D94" s="1"/>
  <c r="A96"/>
  <c r="D92" i="20"/>
  <c r="C96" i="19"/>
  <c r="D96" s="1"/>
  <c r="A98"/>
  <c r="A108" i="3"/>
  <c r="C106"/>
  <c r="D106" s="1"/>
  <c r="D92" i="21"/>
  <c r="C94" i="20"/>
  <c r="D94" s="1"/>
  <c r="A96"/>
  <c r="C106" i="2" l="1"/>
  <c r="D106" s="1"/>
  <c r="A108"/>
  <c r="D88" i="23"/>
  <c r="C94" i="9"/>
  <c r="D94" s="1"/>
  <c r="A96"/>
  <c r="C108" i="6"/>
  <c r="D108" s="1"/>
  <c r="A110"/>
  <c r="A106" i="7"/>
  <c r="C104"/>
  <c r="D104" s="1"/>
  <c r="C92" i="23"/>
  <c r="A94"/>
  <c r="A96" i="22"/>
  <c r="C94"/>
  <c r="D94" s="1"/>
  <c r="A91" i="10"/>
  <c r="C85"/>
  <c r="D85" s="1"/>
  <c r="D87" s="1"/>
  <c r="D98" i="7"/>
  <c r="D100" s="1"/>
  <c r="C99"/>
  <c r="J25" i="8" s="1"/>
  <c r="J14" i="18" s="1"/>
  <c r="D92" i="22"/>
  <c r="C86" i="10"/>
  <c r="C87" i="23"/>
  <c r="A110" i="3"/>
  <c r="C108"/>
  <c r="D108" s="1"/>
  <c r="C96" i="20"/>
  <c r="D96" s="1"/>
  <c r="A98"/>
  <c r="C98" i="19"/>
  <c r="A104"/>
  <c r="C96" i="21"/>
  <c r="A98"/>
  <c r="J49" i="8" l="1"/>
  <c r="J47" s="1"/>
  <c r="J14" i="24"/>
  <c r="J14" i="13"/>
  <c r="J23" i="8"/>
  <c r="C108" i="2"/>
  <c r="A110"/>
  <c r="C96" i="22"/>
  <c r="A98"/>
  <c r="D92" i="23"/>
  <c r="C106" i="7"/>
  <c r="D106" s="1"/>
  <c r="A108"/>
  <c r="A93" i="10"/>
  <c r="C91"/>
  <c r="A96" i="23"/>
  <c r="C94"/>
  <c r="D94" s="1"/>
  <c r="C110" i="6"/>
  <c r="A116"/>
  <c r="C96" i="9"/>
  <c r="D96" s="1"/>
  <c r="A98"/>
  <c r="A104" i="21"/>
  <c r="C98"/>
  <c r="D98" s="1"/>
  <c r="A106" i="19"/>
  <c r="C104"/>
  <c r="C98" i="20"/>
  <c r="A104"/>
  <c r="J32" i="24"/>
  <c r="J34" s="1"/>
  <c r="J36"/>
  <c r="J34" i="13"/>
  <c r="J36" s="1"/>
  <c r="J37"/>
  <c r="D96" i="21"/>
  <c r="D100" s="1"/>
  <c r="C99"/>
  <c r="D98" i="19"/>
  <c r="D100" s="1"/>
  <c r="C99"/>
  <c r="J32" i="18"/>
  <c r="J34" s="1"/>
  <c r="J36"/>
  <c r="C110" i="3"/>
  <c r="A116"/>
  <c r="D108" i="2" l="1"/>
  <c r="C111"/>
  <c r="C110"/>
  <c r="D110" s="1"/>
  <c r="D112" s="1"/>
  <c r="A116"/>
  <c r="D110" i="6"/>
  <c r="D112" s="1"/>
  <c r="C111"/>
  <c r="A98" i="23"/>
  <c r="C96"/>
  <c r="D96" s="1"/>
  <c r="C93" i="10"/>
  <c r="D93" s="1"/>
  <c r="A95"/>
  <c r="D96" i="22"/>
  <c r="C98" i="9"/>
  <c r="A104"/>
  <c r="C116" i="6"/>
  <c r="A118"/>
  <c r="D91" i="10"/>
  <c r="A110" i="7"/>
  <c r="C108"/>
  <c r="C98" i="22"/>
  <c r="D98" s="1"/>
  <c r="D100" s="1"/>
  <c r="A104"/>
  <c r="A118" i="3"/>
  <c r="C116"/>
  <c r="A106" i="20"/>
  <c r="C104"/>
  <c r="D104" i="19"/>
  <c r="D110" i="3"/>
  <c r="D112" s="1"/>
  <c r="C111"/>
  <c r="D98" i="20"/>
  <c r="D100" s="1"/>
  <c r="C99"/>
  <c r="C106" i="19"/>
  <c r="D106" s="1"/>
  <c r="A108"/>
  <c r="C104" i="21"/>
  <c r="A106"/>
  <c r="C99" i="22" l="1"/>
  <c r="C116" i="2"/>
  <c r="D116" s="1"/>
  <c r="A118"/>
  <c r="C110" i="7"/>
  <c r="D110" s="1"/>
  <c r="A116"/>
  <c r="D116" i="6"/>
  <c r="D98" i="9"/>
  <c r="D100" s="1"/>
  <c r="C99"/>
  <c r="A104" i="23"/>
  <c r="C98"/>
  <c r="D98" s="1"/>
  <c r="D100" s="1"/>
  <c r="A106" i="22"/>
  <c r="C104"/>
  <c r="D108" i="7"/>
  <c r="D112" s="1"/>
  <c r="C118" i="6"/>
  <c r="D118" s="1"/>
  <c r="A120"/>
  <c r="C104" i="9"/>
  <c r="D104" s="1"/>
  <c r="A106"/>
  <c r="A97" i="10"/>
  <c r="C97" s="1"/>
  <c r="D97" s="1"/>
  <c r="C95"/>
  <c r="C106" i="21"/>
  <c r="D106" s="1"/>
  <c r="A108"/>
  <c r="C108" i="19"/>
  <c r="D108" s="1"/>
  <c r="A110"/>
  <c r="D104" i="21"/>
  <c r="C106" i="20"/>
  <c r="D106" s="1"/>
  <c r="A108"/>
  <c r="C118" i="3"/>
  <c r="D118" s="1"/>
  <c r="A120"/>
  <c r="D104" i="20"/>
  <c r="D116" i="3"/>
  <c r="C111" i="7" l="1"/>
  <c r="K25" i="8" s="1"/>
  <c r="K14" i="13" s="1"/>
  <c r="A120" i="2"/>
  <c r="C118"/>
  <c r="A108" i="22"/>
  <c r="C106"/>
  <c r="D106" s="1"/>
  <c r="C104" i="23"/>
  <c r="A106"/>
  <c r="C99"/>
  <c r="D95" i="10"/>
  <c r="D99" s="1"/>
  <c r="C98"/>
  <c r="D105" s="1"/>
  <c r="A108" i="9"/>
  <c r="C106"/>
  <c r="D106" s="1"/>
  <c r="C120" i="6"/>
  <c r="D120" s="1"/>
  <c r="A122"/>
  <c r="D104" i="22"/>
  <c r="C116" i="7"/>
  <c r="D116" s="1"/>
  <c r="A118"/>
  <c r="A122" i="3"/>
  <c r="C120"/>
  <c r="C108" i="20"/>
  <c r="A110"/>
  <c r="A116" i="19"/>
  <c r="C110"/>
  <c r="C108" i="21"/>
  <c r="A110"/>
  <c r="K14" i="24" l="1"/>
  <c r="K14" i="18"/>
  <c r="K49" i="8"/>
  <c r="K47" s="1"/>
  <c r="K23"/>
  <c r="C120" i="2"/>
  <c r="D120" s="1"/>
  <c r="A122"/>
  <c r="C122" s="1"/>
  <c r="D122" s="1"/>
  <c r="D118"/>
  <c r="A110" i="9"/>
  <c r="C110" s="1"/>
  <c r="D110" s="1"/>
  <c r="C108"/>
  <c r="D104" i="23"/>
  <c r="C108" i="22"/>
  <c r="A110"/>
  <c r="C110" s="1"/>
  <c r="D110" s="1"/>
  <c r="C118" i="7"/>
  <c r="D118" s="1"/>
  <c r="A120"/>
  <c r="C122" i="6"/>
  <c r="A128"/>
  <c r="D102" i="10"/>
  <c r="D109"/>
  <c r="C106" i="23"/>
  <c r="D106" s="1"/>
  <c r="A108"/>
  <c r="C110" i="21"/>
  <c r="D110" s="1"/>
  <c r="A116"/>
  <c r="D108"/>
  <c r="D112" s="1"/>
  <c r="A118" i="19"/>
  <c r="C116"/>
  <c r="D108" i="20"/>
  <c r="C122" i="3"/>
  <c r="D122" s="1"/>
  <c r="A128"/>
  <c r="K34" i="13"/>
  <c r="K36" s="1"/>
  <c r="K37"/>
  <c r="D110" i="19"/>
  <c r="D112" s="1"/>
  <c r="C111"/>
  <c r="A116" i="20"/>
  <c r="C110"/>
  <c r="D110" s="1"/>
  <c r="D120" i="3"/>
  <c r="K32" i="24"/>
  <c r="K34" s="1"/>
  <c r="K36"/>
  <c r="K36" i="18"/>
  <c r="K32"/>
  <c r="K34" s="1"/>
  <c r="C123" i="2" l="1"/>
  <c r="D129" s="1"/>
  <c r="C123" i="3"/>
  <c r="D124" i="2"/>
  <c r="D133"/>
  <c r="D126"/>
  <c r="D122" i="6"/>
  <c r="D124" s="1"/>
  <c r="C123"/>
  <c r="D108" i="22"/>
  <c r="D112" s="1"/>
  <c r="C111"/>
  <c r="D117" s="1"/>
  <c r="A110" i="23"/>
  <c r="C110" s="1"/>
  <c r="D110" s="1"/>
  <c r="C108"/>
  <c r="D108" s="1"/>
  <c r="C128" i="6"/>
  <c r="A130"/>
  <c r="A122" i="7"/>
  <c r="C120"/>
  <c r="D108" i="9"/>
  <c r="D112" s="1"/>
  <c r="C111"/>
  <c r="D117" s="1"/>
  <c r="C116" i="20"/>
  <c r="A118"/>
  <c r="C128" i="3"/>
  <c r="A130"/>
  <c r="D116" i="19"/>
  <c r="C116" i="21"/>
  <c r="A118"/>
  <c r="D124" i="3"/>
  <c r="C111" i="20"/>
  <c r="C111" i="21"/>
  <c r="C118" i="19"/>
  <c r="D118" s="1"/>
  <c r="A120"/>
  <c r="D112" i="20"/>
  <c r="D120" i="7" l="1"/>
  <c r="C130" i="6"/>
  <c r="D130" s="1"/>
  <c r="A132"/>
  <c r="A128" i="7"/>
  <c r="C122"/>
  <c r="D122" s="1"/>
  <c r="D124" s="1"/>
  <c r="D128" i="6"/>
  <c r="C111" i="23"/>
  <c r="D117" s="1"/>
  <c r="D112"/>
  <c r="D121" i="9"/>
  <c r="D114"/>
  <c r="D114" i="22"/>
  <c r="D121"/>
  <c r="D116" i="21"/>
  <c r="D128" i="3"/>
  <c r="D116" i="20"/>
  <c r="C120" i="19"/>
  <c r="D120" s="1"/>
  <c r="A122"/>
  <c r="C122" s="1"/>
  <c r="D122" s="1"/>
  <c r="A120" i="21"/>
  <c r="C118"/>
  <c r="D118" s="1"/>
  <c r="A132" i="3"/>
  <c r="C130"/>
  <c r="D130" s="1"/>
  <c r="A120" i="20"/>
  <c r="C118"/>
  <c r="D118" s="1"/>
  <c r="C123" i="19" l="1"/>
  <c r="D129" s="1"/>
  <c r="D126" s="1"/>
  <c r="D121" i="23"/>
  <c r="D114"/>
  <c r="C128" i="7"/>
  <c r="D128" s="1"/>
  <c r="A130"/>
  <c r="C132" i="6"/>
  <c r="A134"/>
  <c r="C134" s="1"/>
  <c r="D134" s="1"/>
  <c r="D124" i="19"/>
  <c r="C123" i="7"/>
  <c r="L25" i="8" s="1"/>
  <c r="L14" i="18" s="1"/>
  <c r="D133" i="19"/>
  <c r="A122" i="20"/>
  <c r="C122" s="1"/>
  <c r="D122" s="1"/>
  <c r="C120"/>
  <c r="D120" s="1"/>
  <c r="C132" i="3"/>
  <c r="D132" s="1"/>
  <c r="A134"/>
  <c r="C134" s="1"/>
  <c r="D134" s="1"/>
  <c r="A122" i="21"/>
  <c r="C122" s="1"/>
  <c r="D122" s="1"/>
  <c r="C120"/>
  <c r="D120" s="1"/>
  <c r="D124" i="20" l="1"/>
  <c r="L14" i="24"/>
  <c r="D136" i="3"/>
  <c r="L23" i="8"/>
  <c r="D132" i="6"/>
  <c r="D136" s="1"/>
  <c r="C135"/>
  <c r="D141" s="1"/>
  <c r="A132" i="7"/>
  <c r="C130"/>
  <c r="D130" s="1"/>
  <c r="C123" i="21"/>
  <c r="D129" s="1"/>
  <c r="D133" s="1"/>
  <c r="D124"/>
  <c r="L49" i="8"/>
  <c r="L47" s="1"/>
  <c r="L14" i="13"/>
  <c r="L34" s="1"/>
  <c r="L36" s="1"/>
  <c r="D126" i="21"/>
  <c r="L36" i="18"/>
  <c r="L32"/>
  <c r="L34" s="1"/>
  <c r="C135" i="3"/>
  <c r="L32" i="24"/>
  <c r="L34" s="1"/>
  <c r="L36"/>
  <c r="C123" i="20"/>
  <c r="D129" s="1"/>
  <c r="L37" i="13" l="1"/>
  <c r="A134" i="7"/>
  <c r="C134" s="1"/>
  <c r="D134" s="1"/>
  <c r="C132"/>
  <c r="D138" i="6"/>
  <c r="D145"/>
  <c r="D141" i="3"/>
  <c r="D133" i="20"/>
  <c r="D126"/>
  <c r="C135" i="7" l="1"/>
  <c r="D132"/>
  <c r="D136" s="1"/>
  <c r="D138" i="3"/>
  <c r="D145"/>
  <c r="D141" i="7" l="1"/>
  <c r="M25" i="8"/>
  <c r="D145" i="7" l="1"/>
  <c r="D138"/>
  <c r="M14" i="18"/>
  <c r="M14" i="13"/>
  <c r="M23" i="8"/>
  <c r="M49"/>
  <c r="M47" s="1"/>
  <c r="M14" i="24"/>
  <c r="M34" i="13" l="1"/>
  <c r="M36" s="1"/>
  <c r="M37"/>
  <c r="M36" i="24"/>
  <c r="M32"/>
  <c r="M34" s="1"/>
  <c r="M36" i="18"/>
  <c r="M32"/>
  <c r="M34" s="1"/>
</calcChain>
</file>

<file path=xl/sharedStrings.xml><?xml version="1.0" encoding="utf-8"?>
<sst xmlns="http://schemas.openxmlformats.org/spreadsheetml/2006/main" count="1994" uniqueCount="320">
  <si>
    <t>L.p</t>
  </si>
  <si>
    <t>Zadania realizowane przez wydział Komunikacji i Transportu</t>
  </si>
  <si>
    <t>Muzeum Śląskie - "Budowa nowej siedziby Muzeum Śląskiego w Katowicach"</t>
  </si>
  <si>
    <t xml:space="preserve">Filharmonia Śląska - „Rozbudowa Filharmonii Śląskiej w Katowicach” </t>
  </si>
  <si>
    <t>GTL+Park - Objęcie akcji Wojewódzkiego Parku Kultury i Wypoczynku SA celem przedsięwzięć infrastrukturalnych oraz budowy kolejki linowej</t>
  </si>
  <si>
    <t xml:space="preserve">Muzeum Górnictwa Węglowego w Zabrzu: Skansen Królowa Luiza etap II - „Europejski Ośrodek Kultury Technicznej i Turystyki Przemysłowej – Skansen Królowa Luiza etap II” </t>
  </si>
  <si>
    <t>Nazwa zadania</t>
  </si>
  <si>
    <t>Dział</t>
  </si>
  <si>
    <t>Przewidywane wykonanie</t>
  </si>
  <si>
    <t>Elfy+zakup pojazdów zmodernizowanych</t>
  </si>
  <si>
    <t>w zł</t>
  </si>
  <si>
    <t>WYSOKOŚĆ ŚRODKÓW KREDYTOWYCH</t>
  </si>
  <si>
    <t>WYSOKOŚĆ OPROCENTOWANIA (realne)</t>
  </si>
  <si>
    <t xml:space="preserve">WYSOKOŚĆ ODSETEK </t>
  </si>
  <si>
    <t>Łącznie rata:</t>
  </si>
  <si>
    <t>I kwartał 2010</t>
  </si>
  <si>
    <t>II kwartał 2010</t>
  </si>
  <si>
    <t>III kwartał 2010</t>
  </si>
  <si>
    <t>IV kwartał 2010</t>
  </si>
  <si>
    <t>Odsetki:</t>
  </si>
  <si>
    <t>PROWIZJA 0,09%</t>
  </si>
  <si>
    <t>RAZEM w roku 2010:</t>
  </si>
  <si>
    <t>I kwartał 2012</t>
  </si>
  <si>
    <t>II kwartał 2012</t>
  </si>
  <si>
    <t>III kwartał 2012</t>
  </si>
  <si>
    <t>IV kwartał 2012</t>
  </si>
  <si>
    <t>RAZEM w roku 2012:</t>
  </si>
  <si>
    <t>I kwartał 2013</t>
  </si>
  <si>
    <t>II kwartał 2013</t>
  </si>
  <si>
    <t>III kwartał 2013</t>
  </si>
  <si>
    <t>IV kwartał 2013</t>
  </si>
  <si>
    <t>RAZEM w roku 2013:</t>
  </si>
  <si>
    <t>I kwartał 2014</t>
  </si>
  <si>
    <t>II kwartał 2014</t>
  </si>
  <si>
    <t>III kwartał 2014</t>
  </si>
  <si>
    <t>IV kwartał 2014</t>
  </si>
  <si>
    <t>RAZEM w roku 2014:</t>
  </si>
  <si>
    <t>I kwartał 2015</t>
  </si>
  <si>
    <t>II kwartał 2015</t>
  </si>
  <si>
    <t>III kwartał 2015</t>
  </si>
  <si>
    <t>IV kwartał 2015</t>
  </si>
  <si>
    <t>RAZEM w roku 2015:</t>
  </si>
  <si>
    <t>I kwartał 2016</t>
  </si>
  <si>
    <t>II kwartał 2016</t>
  </si>
  <si>
    <t>III kwartał 2016</t>
  </si>
  <si>
    <t>IV kwartał 2016</t>
  </si>
  <si>
    <t>RAZEM w roku 2016:</t>
  </si>
  <si>
    <t>I kwartał 2017</t>
  </si>
  <si>
    <t>II kwartał 2017</t>
  </si>
  <si>
    <t>III kwartał 2017</t>
  </si>
  <si>
    <t>IV kwartał 2017</t>
  </si>
  <si>
    <t>RAZEM w roku 2017:</t>
  </si>
  <si>
    <t>I kwartał 2018</t>
  </si>
  <si>
    <t>II kwartał 2018</t>
  </si>
  <si>
    <t>III kwartał 2018</t>
  </si>
  <si>
    <t>IV kwartał 2018</t>
  </si>
  <si>
    <t>RAZEM w roku 2018:</t>
  </si>
  <si>
    <t>I kwartał 2019</t>
  </si>
  <si>
    <t>II kwartał 2019</t>
  </si>
  <si>
    <t>III kwartał 2019</t>
  </si>
  <si>
    <t>IV kwartał 2019</t>
  </si>
  <si>
    <t>RAZEM w roku 2019:</t>
  </si>
  <si>
    <t>I kwartał 2020</t>
  </si>
  <si>
    <t>II kwartał 2020</t>
  </si>
  <si>
    <t>III kwartał 2020</t>
  </si>
  <si>
    <t>IV kwartał 2020</t>
  </si>
  <si>
    <t>RAZEM w roku 2020:</t>
  </si>
  <si>
    <t>ŁĄCZNE KOSZTY Z TYTUŁU KREDYTU:</t>
  </si>
  <si>
    <t>w tym:</t>
  </si>
  <si>
    <t>Kapitał kredytu</t>
  </si>
  <si>
    <t>odsetki</t>
  </si>
  <si>
    <t>prowizja</t>
  </si>
  <si>
    <t>RATA KWARTALNA:</t>
  </si>
  <si>
    <t>WIBOR 3M z dnia 12.05.2010</t>
  </si>
  <si>
    <t>Stawka:</t>
  </si>
  <si>
    <t>(najwyższa stawka z poprzedniego przetragu)</t>
  </si>
  <si>
    <t>ROZCHODY</t>
  </si>
  <si>
    <t>Łącznie rozchody:</t>
  </si>
  <si>
    <t>RAZEM w roku 2011:</t>
  </si>
  <si>
    <t>I kwartał 2011</t>
  </si>
  <si>
    <t>II kwartał 2011</t>
  </si>
  <si>
    <t>III kwartał 2011</t>
  </si>
  <si>
    <t>IV kwartał 2011</t>
  </si>
  <si>
    <t>Wartość szacunkowa zamówienia:</t>
  </si>
  <si>
    <t>KREDYT 120.200.000 zł z 2010 r.</t>
  </si>
  <si>
    <t>KREDYT 76.526.350 zł z 2010 r.</t>
  </si>
  <si>
    <t>KREDYT 70.000.000 zł z 2010 r.</t>
  </si>
  <si>
    <t>Lp</t>
  </si>
  <si>
    <t>Wyszczególnienie</t>
  </si>
  <si>
    <t>Dochody ogółem,  tego:</t>
  </si>
  <si>
    <t>a</t>
  </si>
  <si>
    <t xml:space="preserve"> dochody bieżące</t>
  </si>
  <si>
    <t>b</t>
  </si>
  <si>
    <t xml:space="preserve"> dochody majątkowe, w tym:</t>
  </si>
  <si>
    <t>c</t>
  </si>
  <si>
    <t xml:space="preserve">   ze sprzedaży majątku</t>
  </si>
  <si>
    <t>Wydatki bieżące (bez odsetek i prowizji od: kredytów i pożyczek oraz wyemitowanych papierów wartościowych), w tym:</t>
  </si>
  <si>
    <t xml:space="preserve"> na wynagrodzenia i składki od nich naliczane</t>
  </si>
  <si>
    <t xml:space="preserve"> związane z funkcjonowaniem organów JST</t>
  </si>
  <si>
    <t xml:space="preserve"> z tytułu gwarancji i poręczeń, w tym:</t>
  </si>
  <si>
    <t>d</t>
  </si>
  <si>
    <t xml:space="preserve">   gwarancje i poręczenia podlegające wyłączeniu z limitów spłaty zobowiązań z art. 243 ufp/169sufp</t>
  </si>
  <si>
    <t>e</t>
  </si>
  <si>
    <t xml:space="preserve"> rezerwa ogólna</t>
  </si>
  <si>
    <t>f</t>
  </si>
  <si>
    <t xml:space="preserve"> rezerwy celowe</t>
  </si>
  <si>
    <t>g</t>
  </si>
  <si>
    <t xml:space="preserve"> pozostałe wydatki bieżące </t>
  </si>
  <si>
    <t>h</t>
  </si>
  <si>
    <t xml:space="preserve"> wydatki bieżące objęte limitem art. 226 ust. 4 ufp</t>
  </si>
  <si>
    <t>Wynik budżetu po wykonaniu wydatków bieżących (bez obsługi długu) (1-2)</t>
  </si>
  <si>
    <t>Nadwyżka budżetowa z lat ubiegłych plus wolne środki, zgodnie z art.. 217 ufp, w tym</t>
  </si>
  <si>
    <t xml:space="preserve"> nadwyżka budżetowa z lat ubiegłych plus wolne środki, zgodnie z art.. 217 ufp, angażowane na pokrycie deficytu budżetu roku bieżącego</t>
  </si>
  <si>
    <t>Inne przychody niezwiązane z zaciąganiem długu</t>
  </si>
  <si>
    <t>Środki do dyspozycji (3+4+5)</t>
  </si>
  <si>
    <t>Spłata i obsługa długu, z tego:</t>
  </si>
  <si>
    <t>Inne rozchody (bez spłaty długu np. udzielane pożyczki)</t>
  </si>
  <si>
    <t>Środki do dyspozycji na wydatki majątkowe (6-7-8)</t>
  </si>
  <si>
    <t>Wydatki majątkowe, w tym:</t>
  </si>
  <si>
    <t xml:space="preserve"> wydatki majątkowe objęte limitem art. 226 ust.4 ufp</t>
  </si>
  <si>
    <t>Przychody (kredyty, pożyczki, emisje obligacji)</t>
  </si>
  <si>
    <t>Wynik finansowy budżetu (9-10+11)</t>
  </si>
  <si>
    <t>Kwota długu na koniec 2010</t>
  </si>
  <si>
    <t>Kwota długu na koniec 2011</t>
  </si>
  <si>
    <t>Kwota długu na koniec 2012</t>
  </si>
  <si>
    <t>Łączna kwota długu z tytułu kredytów</t>
  </si>
  <si>
    <t>(kredyty do 2020 r.)</t>
  </si>
  <si>
    <t>a) spłata rat kredytowych</t>
  </si>
  <si>
    <t>b) odsetki z tytułu kredytów</t>
  </si>
  <si>
    <t>c) prowizje</t>
  </si>
  <si>
    <t>Łączna kwota kredytów w 2010 r., w tym:</t>
  </si>
  <si>
    <t>Łączna kwota kredytów w 2011 r., w tym:</t>
  </si>
  <si>
    <t>Wykonanie</t>
  </si>
  <si>
    <t>Plan po zmianach</t>
  </si>
  <si>
    <t>różnica (w stosunku do planu po zmianach):</t>
  </si>
  <si>
    <t>Plan wg uchwały</t>
  </si>
  <si>
    <t>Lp.</t>
  </si>
  <si>
    <t xml:space="preserve"> rozchody z tytułu spłaty rat kapitałowych oraz wykupu papierów wartościowych</t>
  </si>
  <si>
    <t xml:space="preserve"> wydatki bieżące na obsługę długu</t>
  </si>
  <si>
    <t>ŚRODKI DO DYSPOZYCJI PO ROZLICZENIU KREDYTÓW</t>
  </si>
  <si>
    <t>Sebastian Krajewski</t>
  </si>
  <si>
    <t>sporządził:</t>
  </si>
  <si>
    <t>Łączna kwota kredytów w 2012 r., w tym:</t>
  </si>
  <si>
    <t>PIERWOTNA kwota długu z WPF</t>
  </si>
  <si>
    <t>x 31</t>
  </si>
  <si>
    <t>x 1</t>
  </si>
  <si>
    <t>Budowa Drogi Głównej Południowej na odcinku od DW 933 - ul. Pszczyńskiej w Jastrzębiu Zdroju do węzła autostrady A1 w Mszanie</t>
  </si>
  <si>
    <t>KREDYTY w roku budżetowym 2012</t>
  </si>
  <si>
    <t>KREDYTY w roku budżetowym 2011</t>
  </si>
  <si>
    <t>KREDYTY w roku budżetowym 2010</t>
  </si>
  <si>
    <t>KREDYT w roku budżetowym 2009</t>
  </si>
  <si>
    <t>Łączna kwota kredytów w 2013 r., w tym:</t>
  </si>
  <si>
    <t>KREDYTY w roku budżetowym 2013</t>
  </si>
  <si>
    <t>PROGNOZA OPROCENTOWANIA REALNEGO KREDYTU 
na lata 2011-2020</t>
  </si>
  <si>
    <t>PROGNOZA OPROCENTOWANIA REALNEGO KREDYTU 
na lata 2010-2020</t>
  </si>
  <si>
    <t>PROGNOZA OPROCENTOWANIA REALNEGO KREDYTU 
na lata 2012-2020</t>
  </si>
  <si>
    <t>PROGNOZA OPROCENTOWANIA REALNEGO KREDYTU 
na lata 2013-2020</t>
  </si>
  <si>
    <t>ELFy - "Dostawa Elektrycznych Zespołów Trakcyjnych do wykonywania pasażerskich przewozów regionalnych"</t>
  </si>
  <si>
    <t>Muzeum Śląskie w Katowicach - "Budowa nowej siedziby Muzeum Śląskiego w Katowicach"</t>
  </si>
  <si>
    <t>KREDYTY w roku budżetowym 2014</t>
  </si>
  <si>
    <t>Łączna kwota kredytów w 2014 r., w tym:</t>
  </si>
  <si>
    <t>PROGNOZA OPROCENTOWANIA REALNEGO KREDYTU 
na lata 2014-2020</t>
  </si>
  <si>
    <t>"Zakup taboru do obsługi połączeń międzywojewódzkich (…)"</t>
  </si>
  <si>
    <t>KOSZTY KREDYTÓW ZACIĄGNIĘTYCH W LATACH 2009-2014</t>
  </si>
  <si>
    <t>Teatr Śląski - "Adaptacja budynku Teatru Śląskiego tzw. Malarni i zaplecza magazynowo-warsztatowego dla potrzeb kulturalnych i turystycznych"</t>
  </si>
  <si>
    <t xml:space="preserve">Filharmonia Śląska - "Rozbudowa Filharmonii Śląskiej w Katowicach” </t>
  </si>
  <si>
    <t>662 163  zł zdjęto z Muzeum i przeznaczono na GPE Chorzów</t>
  </si>
  <si>
    <t>1 000 000 zł zdjęto z Muzeum i przeznaczono na Teatr Śląski</t>
  </si>
  <si>
    <t>Zadania realizowane przez wydział Komunikacji i Transportu:                                                                                      a) "Budowa północnego obejścia Żywca (DW 946)”,                                                                                                                                                     b) "Przebudowa drogi po budowie kanalizacji (DW 790/791)”,                                                                                                                                         c) "Przebudowa DW 935 wraz z budową chodników na odcinku od km 45+190 do km 56+741 w miejscowości Suszec”,                                                                                                                                                                                                                                 d) "Przebudowa DW 934 w miejscowości Imielin ul. Imielińska",                                                                                                                                 e) "Przebudowa obiektu mostowego w km 9+023 DW 905 w m. Boronów – rozbiórka i budowa mostu”.</t>
  </si>
  <si>
    <t>Łączna kwota kredytów w 2009 r., w tym:</t>
  </si>
  <si>
    <t>Zakup akcji GTL SA (kredyt do 2014 r.)</t>
  </si>
  <si>
    <t>Stadion w Chorzowie - „Zadaszenie widowni oraz niezbędna infrastruktura techniczna Stadionu Śląskiego w Chorzowie” (kredyt do 2014 r.)</t>
  </si>
  <si>
    <t>PROWIZJA 0,40%</t>
  </si>
  <si>
    <t>x 39</t>
  </si>
  <si>
    <t>Załącznik 1</t>
  </si>
  <si>
    <t>WIELOLETNIA PROGNOZA FINANSOWA</t>
  </si>
  <si>
    <t>Dochody ogółem, z tego:</t>
  </si>
  <si>
    <t>a)</t>
  </si>
  <si>
    <t>dochody bieżące</t>
  </si>
  <si>
    <t>b)</t>
  </si>
  <si>
    <t>dochody majątkowe, w tym:</t>
  </si>
  <si>
    <t>c)</t>
  </si>
  <si>
    <t>ze sprzedaży majątku</t>
  </si>
  <si>
    <t>Wydatki ogółem, z tego:</t>
  </si>
  <si>
    <r>
      <rPr>
        <b/>
        <sz val="11"/>
        <color indexed="8"/>
        <rFont val="Times New Roman"/>
        <family val="1"/>
        <charset val="238"/>
      </rPr>
      <t>wydatki bieżące</t>
    </r>
    <r>
      <rPr>
        <sz val="11"/>
        <color indexed="8"/>
        <rFont val="Times New Roman"/>
        <family val="1"/>
        <charset val="238"/>
      </rPr>
      <t>, w tym m.in:</t>
    </r>
  </si>
  <si>
    <t>d)</t>
  </si>
  <si>
    <t xml:space="preserve"> z tytułu gwarancji i poręczeń</t>
  </si>
  <si>
    <t>e)</t>
  </si>
  <si>
    <t>f)</t>
  </si>
  <si>
    <t xml:space="preserve"> wydatki bieżące na przedsięwzięcia</t>
  </si>
  <si>
    <t>g)</t>
  </si>
  <si>
    <r>
      <rPr>
        <b/>
        <sz val="11"/>
        <color indexed="8"/>
        <rFont val="Times New Roman"/>
        <family val="1"/>
        <charset val="238"/>
      </rPr>
      <t>wydatki majątkowe</t>
    </r>
    <r>
      <rPr>
        <sz val="11"/>
        <color indexed="8"/>
        <rFont val="Times New Roman"/>
        <family val="1"/>
        <charset val="238"/>
      </rPr>
      <t>, w tym:</t>
    </r>
  </si>
  <si>
    <t>h)</t>
  </si>
  <si>
    <t xml:space="preserve"> wydatki majątkowe na przedsięwzięcia</t>
  </si>
  <si>
    <t>Wynik budżetu/nadwyżka lub deficyt budżetu (1-2)</t>
  </si>
  <si>
    <t>Nadwyżka operacyjna (1a-2a)</t>
  </si>
  <si>
    <t>Przychody, z tego:</t>
  </si>
  <si>
    <t>przychody nie związane z zaciągnięciem długu, w tym:</t>
  </si>
  <si>
    <t>nadwyżka budżetowa z lat ubiegłych</t>
  </si>
  <si>
    <t>wolne środki</t>
  </si>
  <si>
    <t>spłata rat udzielonych pożyczek</t>
  </si>
  <si>
    <t>przychody związane z zaciągnięciem długu (kredyt)</t>
  </si>
  <si>
    <t>Rozchody, z tego:</t>
  </si>
  <si>
    <t xml:space="preserve">rozchody z tytułu spłaty rat kapitałowych </t>
  </si>
  <si>
    <t>udzielane pożyczki</t>
  </si>
  <si>
    <t>Równowaga budżetowa (1+5-2-6=0)</t>
  </si>
  <si>
    <t>Kwota długu, w tym:</t>
  </si>
  <si>
    <t>łączna kwota wyłączeń spłaty kredytów i pożyczek zaciągniętych na realizację zadań finansowanych ze środków UE (art. 243 ust. 3 pkt 1 ufp)</t>
  </si>
  <si>
    <t>kwota wyłączeń spłaty kredytów i pożyczek zaciągniętych na realizację zadań finansowanych ze środków UE przypadająca na dany rok budżetowy 
(art. 243 ust. 3 pkt 1 ufp)</t>
  </si>
  <si>
    <t>Indywidualny wskaźnik spłaty zadłużenia</t>
  </si>
  <si>
    <t xml:space="preserve"> planowany wskaźnik spłaty zobowiązań (z art. 243 ufp)</t>
  </si>
  <si>
    <t xml:space="preserve"> maksymalny dopuszczalny wskaźnik spłaty (z art. 243 ufp)</t>
  </si>
  <si>
    <t>Spełnienie wskaźnika spłaty z art. 243 ufp po uwzględnieniu art. 244 ufp</t>
  </si>
  <si>
    <t>Planowana łączna kwota spłaty zobowiązań/dochody ogółem - max 15% 
(z art. 169 ufp z 2005 r.)</t>
  </si>
  <si>
    <t>Zadłużenie/dochody ogółem - max 60% 
(z art. 170 ufp z 2005 r.)</t>
  </si>
  <si>
    <t>Finansowanie spłaty długu, w tym:</t>
  </si>
  <si>
    <t>dochody własne (wpływy z udziału w podatku dochodowym od osób prawnych)</t>
  </si>
  <si>
    <t>nadwyżka budżetowa z lat poprzednich</t>
  </si>
  <si>
    <t>prywatyzacja majątku</t>
  </si>
  <si>
    <t>kredyt</t>
  </si>
  <si>
    <t>spłaty rat pożyczek</t>
  </si>
  <si>
    <t>emisja obligacji</t>
  </si>
  <si>
    <t>Przeznaczenie nadwyżki, w tym:</t>
  </si>
  <si>
    <t>spłata zaciągniętych pożyczek</t>
  </si>
  <si>
    <t>spłata zaciągniętych kredytów</t>
  </si>
  <si>
    <t>wykup wyemitowanych obligacji</t>
  </si>
  <si>
    <t>pożyczki do udzielenia</t>
  </si>
  <si>
    <t>inne</t>
  </si>
  <si>
    <t>Finansowanie deficytu, w tym:</t>
  </si>
  <si>
    <t xml:space="preserve">pożyczki </t>
  </si>
  <si>
    <t>kredyty</t>
  </si>
  <si>
    <t>TABELA 1
do WPF</t>
  </si>
  <si>
    <t xml:space="preserve">Lp. </t>
  </si>
  <si>
    <t xml:space="preserve">Źródła dochodu </t>
  </si>
  <si>
    <t>I</t>
  </si>
  <si>
    <t>DOCHODY WŁASNE - ogółem</t>
  </si>
  <si>
    <t>w tym bieżące:</t>
  </si>
  <si>
    <t>1. Udział w podatkach stanowiących dochód budżetu państwa, w tym:</t>
  </si>
  <si>
    <t xml:space="preserve">     - udział w podatku dochodowym od osób fizycznych (1,6%)</t>
  </si>
  <si>
    <t xml:space="preserve">     - udział w podatku dochodowym od osób prawnych (14,75%)</t>
  </si>
  <si>
    <t>2. Dochody jednostek budżetowych</t>
  </si>
  <si>
    <t>3. 10% kwoty uzyskiwanej w związku z gromadzeniem środków z opłat i kar za korzystanie ze środowiska</t>
  </si>
  <si>
    <t>4. Wpływy z opłat za koncesje i licencje</t>
  </si>
  <si>
    <t>5. 2% wpływów z opłaty produktowej</t>
  </si>
  <si>
    <t>6. 5% dochodów uzyskiwanych na rzecz budżetu państwa w związku z realizacją zadań z zakresu administracji rządowej oraz innych zadań zleconych ustawami, o ile odrębne przepisy nie stanowią inaczej</t>
  </si>
  <si>
    <t>7. Odsetki od środków finansowych na rachunkach bankowych i bonów skarbowych</t>
  </si>
  <si>
    <t>8. Wpływy za wydawanie zezwoleń na obrót hurtowy napojami alkoholowymi o zawartości do 18% alkoholu</t>
  </si>
  <si>
    <t>w tym majątkowe:</t>
  </si>
  <si>
    <t>3. Środki ze źródeł pozabudżetowych</t>
  </si>
  <si>
    <t>II</t>
  </si>
  <si>
    <t>SUBWENCJA OGÓLNA</t>
  </si>
  <si>
    <t>1. Część oświatowa</t>
  </si>
  <si>
    <t>2. Część wyrównawcza</t>
  </si>
  <si>
    <t>3. Część regionalna</t>
  </si>
  <si>
    <t>4. Część uzupełniająca</t>
  </si>
  <si>
    <t>III</t>
  </si>
  <si>
    <t>DOTACJE CELOWE NA ZADANIA WŁASNE</t>
  </si>
  <si>
    <t>3. Porozumienia między jednostkami samorządu terytorialnego</t>
  </si>
  <si>
    <t>Zadania zlecone i powierzone</t>
  </si>
  <si>
    <t>BIEŻĄCE</t>
  </si>
  <si>
    <t>MAJĄTKOWE</t>
  </si>
  <si>
    <t>DOCHODY OGÓŁEM</t>
  </si>
  <si>
    <t>DOCHODY BIEŻĄCE</t>
  </si>
  <si>
    <t>DOCHODY MAJĄTKOWE</t>
  </si>
  <si>
    <t>Wielkości początkowe za lata 2007 - 2010 do obliczenia relacji,                                                                                                                                                 o której mowa w art. 243 ufp</t>
  </si>
  <si>
    <t>Dochody bieżące</t>
  </si>
  <si>
    <t>Sprzedaż majątku</t>
  </si>
  <si>
    <t>Wydatki bieżące</t>
  </si>
  <si>
    <t>Dochody ogółem</t>
  </si>
  <si>
    <t>(Dochody bieżące + sprzedaż majątku - wydatki bieżące) / dochody ogółem</t>
  </si>
  <si>
    <t xml:space="preserve">Górnośląski Park Etnograficzny w Chorzowie - „Budowa obiektu wielofunkcyjnego (szkoleniowo-ekspozycyjnego) na terenie Górnośląskiego Parku Etnograficznego w Chorzowie” </t>
  </si>
  <si>
    <t>w tym: Opłata za udostępnianie dokumentów i materiałów zasobu geodezyjnego</t>
  </si>
  <si>
    <t>1. Dochody jednostek budżetowych</t>
  </si>
  <si>
    <t>- na wynagrodzenia i składki od nich naliczane</t>
  </si>
  <si>
    <t>- związane z funkcjonowaniem organów JST</t>
  </si>
  <si>
    <t>- z tytułu gwarancji i poręczeń</t>
  </si>
  <si>
    <t>- wydatki bieżące na obsługę długu</t>
  </si>
  <si>
    <t>- nadwyżka budżetowa z lat ubiegłych</t>
  </si>
  <si>
    <t>- wolne środki</t>
  </si>
  <si>
    <t>- spłata rat udzielonych pożyczek</t>
  </si>
  <si>
    <t>- ze sprzedaży majątku</t>
  </si>
  <si>
    <t>Kwota długu</t>
  </si>
  <si>
    <t xml:space="preserve"> planowany wskaźnik spłaty zobowiązań </t>
  </si>
  <si>
    <t xml:space="preserve"> maksymalny dopuszczalny wskaźnik spłaty </t>
  </si>
  <si>
    <t>Indywidualny wskaźnik spłaty zadłużenia (z art. 243 ufp)</t>
  </si>
  <si>
    <t>Planowana łączna kwota spłaty zobowiązań/dochody ogółem - max 15%                              (z art. 169 ufp z 2005 r.)</t>
  </si>
  <si>
    <t>Europejski Ośrodek Kultury Technicznej i Turystyki Przemysłowej - Skansen Górniczy
Królowa Luiza, etap II - Rewitalizacja budynku łaźni łańcuszkowej</t>
  </si>
  <si>
    <t>DOCHODY WŁASNE ogółem</t>
  </si>
  <si>
    <t xml:space="preserve"> - bieżące</t>
  </si>
  <si>
    <t>- majątkowe</t>
  </si>
  <si>
    <t>WYDATKI OGÓŁEM</t>
  </si>
  <si>
    <t>- spłata rat kredytowych</t>
  </si>
  <si>
    <t>- udzielane pożyczki</t>
  </si>
  <si>
    <t>PRZYCHODY</t>
  </si>
  <si>
    <t>PROGNOZA DOCHODÓW BUDŻETU WŁASNEGO WOJEWÓDZTWA ŚLĄSKIEGO W LATACH 2012 - 2020</t>
  </si>
  <si>
    <t>RÓWNOWAGA</t>
  </si>
  <si>
    <t>9. Opłata za wyłączenie gruntów rolnych z produkcji</t>
  </si>
  <si>
    <t>- wydatki bieżące na przedsięwzięcia wieloletnie</t>
  </si>
  <si>
    <t>- wydatki majątkowe na przedsięwzięcia wieloletnie</t>
  </si>
  <si>
    <t>10. Środki unijne</t>
  </si>
  <si>
    <t>11. Środki ze źródeł pozabudżetowych</t>
  </si>
  <si>
    <t>w tym: ze sprzedaży składników majątkowych</t>
  </si>
  <si>
    <t>2. Środki unijne</t>
  </si>
  <si>
    <t>2. Dotacje celowe do zadań realizowanych ze środków unijnych</t>
  </si>
  <si>
    <t>1. Z budżetu państwa na zadania własne</t>
  </si>
  <si>
    <t>- kredyty</t>
  </si>
  <si>
    <t>DO DOCHODÓW WŁASNYCH + SUBWENCJA OGÓLNA</t>
  </si>
  <si>
    <r>
      <rPr>
        <b/>
        <sz val="11"/>
        <color indexed="8"/>
        <rFont val="Times New Roman"/>
        <family val="1"/>
        <charset val="238"/>
      </rPr>
      <t>ZADANIE NOWE</t>
    </r>
    <r>
      <rPr>
        <sz val="11"/>
        <color theme="1"/>
        <rFont val="Times New Roman"/>
        <family val="1"/>
        <charset val="238"/>
      </rPr>
      <t xml:space="preserve"> - Samodzielny Publiczny Wojewódzki Szpital Chirurgii Urazowej im dr Janusza Daaba w Piekarach Śląskich - "Modernizacja i rozbudowa Pawilonu Diagnostyczno-Zabiegowego w zakresie Oddziału Anestezjologii i Intensywnej Terapii z zakupem sprzętu dla strefy zabiegowej SP W Szpitala Chirurgii Urazowej im. dra J. Daaba w Piekarach Śląskich"</t>
    </r>
  </si>
  <si>
    <r>
      <rPr>
        <b/>
        <sz val="11"/>
        <color indexed="8"/>
        <rFont val="Times New Roman"/>
        <family val="1"/>
        <charset val="238"/>
      </rPr>
      <t>ZADANIE NOWE</t>
    </r>
    <r>
      <rPr>
        <sz val="11"/>
        <color theme="1"/>
        <rFont val="Times New Roman"/>
        <family val="1"/>
        <charset val="238"/>
      </rPr>
      <t xml:space="preserve"> - Młodzieżowy Ośrodek Wychowawczy w Jaworzu - "Przebudowa budynku Zamek w Jaworzu po pożarze"</t>
    </r>
  </si>
  <si>
    <r>
      <rPr>
        <b/>
        <sz val="11"/>
        <color indexed="8"/>
        <rFont val="Times New Roman"/>
        <family val="1"/>
        <charset val="238"/>
      </rPr>
      <t>ZADANIE NOWE</t>
    </r>
    <r>
      <rPr>
        <sz val="11"/>
        <color theme="1"/>
        <rFont val="Times New Roman"/>
        <family val="1"/>
        <charset val="238"/>
      </rPr>
      <t xml:space="preserve"> - Zadania realizowane przez wydział Komunikacji i Transportu</t>
    </r>
  </si>
  <si>
    <t>Plan wg budżetu na 2011 r.</t>
  </si>
  <si>
    <t>Plan wg WPF na 2012 r.</t>
  </si>
  <si>
    <t>Stadion w Chorzowie - „Zadaszenie widowni oraz niezbędna infrastruktura techniczna Stadionu Śląskiego w Chorzowie”</t>
  </si>
  <si>
    <t>Stadion w Chorzowie - "Zadaszenie widowni oraz niezbędna infrastruktura techniczna Stadionu Śląskiego w Chorzowie”</t>
  </si>
  <si>
    <t>Zespół Pieśni i Tańca "Śląsk" w Koszęcinie - "Rewitalizacja Zespołu pałacowo-parkowego w Koszęcinie w ramach tworzenia Śląskiego Centrum Edukacji Regionalnej - II i III etap"</t>
  </si>
  <si>
    <t>x 23</t>
  </si>
  <si>
    <t>x 35</t>
  </si>
  <si>
    <t>x 27</t>
  </si>
  <si>
    <t>x 32</t>
  </si>
  <si>
    <t>Młodzieżowy Ośrodek Wychowawczy w Jaworzu - "Przebudowa budynku Zamek w Jaworzu po pożarze"</t>
  </si>
</sst>
</file>

<file path=xl/styles.xml><?xml version="1.0" encoding="utf-8"?>
<styleSheet xmlns="http://schemas.openxmlformats.org/spreadsheetml/2006/main">
  <numFmts count="5">
    <numFmt numFmtId="164" formatCode="#,##0\ _z_ł"/>
    <numFmt numFmtId="165" formatCode="0.0000"/>
    <numFmt numFmtId="166" formatCode="#,##0_ ;\-#,##0\ "/>
    <numFmt numFmtId="167" formatCode="0.00000"/>
    <numFmt numFmtId="168" formatCode="#,##0.00000"/>
  </numFmts>
  <fonts count="63">
    <font>
      <sz val="11"/>
      <color theme="1"/>
      <name val="Czcionka tekstu podstawowego"/>
      <family val="2"/>
      <charset val="238"/>
    </font>
    <font>
      <b/>
      <sz val="15"/>
      <name val="Book Antiqua"/>
      <family val="1"/>
    </font>
    <font>
      <i/>
      <sz val="10"/>
      <name val="Arial CE"/>
      <family val="2"/>
      <charset val="238"/>
    </font>
    <font>
      <sz val="10"/>
      <name val="Times New Roman"/>
      <family val="1"/>
      <charset val="238"/>
    </font>
    <font>
      <sz val="12"/>
      <name val="Times New Roman CE"/>
      <family val="1"/>
      <charset val="238"/>
    </font>
    <font>
      <sz val="12"/>
      <name val="Arial CE"/>
      <family val="2"/>
      <charset val="238"/>
    </font>
    <font>
      <sz val="12"/>
      <name val="Book Antiqua"/>
      <family val="1"/>
    </font>
    <font>
      <b/>
      <sz val="13"/>
      <name val="Times New Roman CE"/>
      <charset val="238"/>
    </font>
    <font>
      <b/>
      <sz val="12"/>
      <name val="Times New Roman CE"/>
      <charset val="238"/>
    </font>
    <font>
      <b/>
      <sz val="13"/>
      <name val="Arial"/>
      <family val="2"/>
      <charset val="238"/>
    </font>
    <font>
      <b/>
      <sz val="10"/>
      <name val="Arial"/>
      <family val="2"/>
      <charset val="238"/>
    </font>
    <font>
      <sz val="13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8"/>
      <name val="Book Antiqua"/>
      <family val="1"/>
    </font>
    <font>
      <sz val="9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4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i/>
      <sz val="11"/>
      <name val="Times New Roman"/>
      <family val="1"/>
    </font>
    <font>
      <b/>
      <sz val="11"/>
      <color indexed="8"/>
      <name val="Arial"/>
      <family val="2"/>
      <charset val="238"/>
    </font>
    <font>
      <b/>
      <sz val="10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sz val="8"/>
      <name val="Times New Roman"/>
      <family val="1"/>
    </font>
    <font>
      <i/>
      <sz val="9"/>
      <name val="Times New Roman"/>
      <family val="1"/>
      <charset val="238"/>
    </font>
    <font>
      <sz val="12"/>
      <name val="Times New Roman CE"/>
      <charset val="238"/>
    </font>
    <font>
      <b/>
      <sz val="11"/>
      <color theme="1"/>
      <name val="Czcionka tekstu podstawowego"/>
      <charset val="238"/>
    </font>
    <font>
      <b/>
      <sz val="14"/>
      <color theme="1"/>
      <name val="Czcionka tekstu podstawowego"/>
      <charset val="238"/>
    </font>
    <font>
      <b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theme="1"/>
      <name val="Czcionka tekstu podstawowego"/>
      <charset val="238"/>
    </font>
    <font>
      <sz val="8"/>
      <color theme="1"/>
      <name val="Czcionka tekstu podstawowego"/>
      <family val="2"/>
      <charset val="238"/>
    </font>
    <font>
      <b/>
      <sz val="9"/>
      <color theme="1"/>
      <name val="Times New Roman"/>
      <family val="1"/>
      <charset val="238"/>
    </font>
    <font>
      <b/>
      <sz val="12"/>
      <color theme="1"/>
      <name val="Czcionka tekstu podstawowego"/>
      <family val="2"/>
      <charset val="238"/>
    </font>
    <font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i/>
      <sz val="10"/>
      <color theme="1"/>
      <name val="Czcionka tekstu podstawowego"/>
      <charset val="238"/>
    </font>
    <font>
      <b/>
      <i/>
      <sz val="11"/>
      <color theme="1"/>
      <name val="Czcionka tekstu podstawowego"/>
      <charset val="238"/>
    </font>
    <font>
      <i/>
      <sz val="11"/>
      <color theme="1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sz val="12"/>
      <color theme="1"/>
      <name val="Arial"/>
      <family val="2"/>
      <charset val="238"/>
    </font>
    <font>
      <sz val="12"/>
      <color theme="1"/>
      <name val="Czcionka tekstu podstawowego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6">
    <xf numFmtId="0" fontId="0" fillId="0" borderId="0" xfId="0"/>
    <xf numFmtId="0" fontId="0" fillId="0" borderId="0" xfId="0" applyBorder="1"/>
    <xf numFmtId="0" fontId="0" fillId="0" borderId="0" xfId="0" applyAlignment="1">
      <alignment horizontal="right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vertical="center"/>
    </xf>
    <xf numFmtId="9" fontId="4" fillId="0" borderId="6" xfId="0" applyNumberFormat="1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4" fontId="4" fillId="0" borderId="8" xfId="0" applyNumberFormat="1" applyFont="1" applyBorder="1" applyAlignment="1">
      <alignment vertical="center"/>
    </xf>
    <xf numFmtId="10" fontId="4" fillId="0" borderId="1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vertical="center"/>
    </xf>
    <xf numFmtId="4" fontId="4" fillId="0" borderId="9" xfId="0" applyNumberFormat="1" applyFont="1" applyBorder="1" applyAlignment="1">
      <alignment vertical="center"/>
    </xf>
    <xf numFmtId="4" fontId="4" fillId="0" borderId="10" xfId="0" applyNumberFormat="1" applyFont="1" applyBorder="1" applyAlignment="1">
      <alignment vertical="center"/>
    </xf>
    <xf numFmtId="4" fontId="5" fillId="0" borderId="2" xfId="0" applyNumberFormat="1" applyFont="1" applyBorder="1" applyAlignment="1">
      <alignment vertical="center"/>
    </xf>
    <xf numFmtId="0" fontId="6" fillId="0" borderId="6" xfId="0" applyFont="1" applyBorder="1" applyAlignment="1">
      <alignment horizontal="right" vertical="center"/>
    </xf>
    <xf numFmtId="4" fontId="6" fillId="0" borderId="6" xfId="0" applyNumberFormat="1" applyFont="1" applyBorder="1" applyAlignment="1">
      <alignment vertical="center"/>
    </xf>
    <xf numFmtId="4" fontId="5" fillId="0" borderId="7" xfId="0" applyNumberFormat="1" applyFont="1" applyBorder="1" applyAlignment="1">
      <alignment vertical="center"/>
    </xf>
    <xf numFmtId="4" fontId="5" fillId="0" borderId="11" xfId="0" applyNumberFormat="1" applyFont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4" fontId="6" fillId="0" borderId="1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4" fontId="5" fillId="0" borderId="12" xfId="0" applyNumberFormat="1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7" fillId="0" borderId="13" xfId="0" applyFont="1" applyBorder="1" applyAlignment="1">
      <alignment horizontal="right" vertical="center" wrapText="1"/>
    </xf>
    <xf numFmtId="4" fontId="8" fillId="0" borderId="14" xfId="0" applyNumberFormat="1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4" fontId="0" fillId="0" borderId="0" xfId="0" applyNumberFormat="1" applyAlignment="1">
      <alignment vertical="center"/>
    </xf>
    <xf numFmtId="4" fontId="5" fillId="0" borderId="11" xfId="0" applyNumberFormat="1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7" fillId="0" borderId="15" xfId="0" applyFont="1" applyBorder="1" applyAlignment="1">
      <alignment horizontal="right" vertical="center" wrapText="1"/>
    </xf>
    <xf numFmtId="4" fontId="8" fillId="0" borderId="16" xfId="0" applyNumberFormat="1" applyFont="1" applyBorder="1" applyAlignment="1">
      <alignment vertical="center" wrapText="1"/>
    </xf>
    <xf numFmtId="4" fontId="5" fillId="0" borderId="17" xfId="0" applyNumberFormat="1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7" fillId="0" borderId="17" xfId="0" applyFont="1" applyBorder="1" applyAlignment="1">
      <alignment horizontal="right" vertical="center" wrapText="1"/>
    </xf>
    <xf numFmtId="4" fontId="8" fillId="0" borderId="17" xfId="0" applyNumberFormat="1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4" fontId="5" fillId="0" borderId="0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right" vertical="center" wrapText="1"/>
    </xf>
    <xf numFmtId="4" fontId="8" fillId="0" borderId="0" xfId="0" applyNumberFormat="1" applyFont="1" applyBorder="1" applyAlignment="1">
      <alignment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4" fontId="10" fillId="0" borderId="0" xfId="0" applyNumberFormat="1" applyFont="1" applyAlignment="1">
      <alignment horizontal="right" vertical="center"/>
    </xf>
    <xf numFmtId="4" fontId="0" fillId="0" borderId="0" xfId="0" applyNumberFormat="1" applyAlignment="1">
      <alignment horizontal="right" vertical="center"/>
    </xf>
    <xf numFmtId="4" fontId="12" fillId="0" borderId="0" xfId="0" applyNumberFormat="1" applyFont="1" applyAlignment="1">
      <alignment horizontal="right" vertical="center"/>
    </xf>
    <xf numFmtId="0" fontId="0" fillId="0" borderId="21" xfId="0" applyBorder="1"/>
    <xf numFmtId="0" fontId="13" fillId="0" borderId="0" xfId="0" applyFont="1"/>
    <xf numFmtId="4" fontId="0" fillId="0" borderId="0" xfId="0" applyNumberFormat="1"/>
    <xf numFmtId="10" fontId="14" fillId="0" borderId="0" xfId="0" applyNumberFormat="1" applyFont="1" applyAlignment="1">
      <alignment horizontal="left"/>
    </xf>
    <xf numFmtId="10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/>
    <xf numFmtId="0" fontId="3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vertical="center"/>
    </xf>
    <xf numFmtId="4" fontId="4" fillId="0" borderId="24" xfId="0" applyNumberFormat="1" applyFont="1" applyBorder="1" applyAlignment="1">
      <alignment vertical="center"/>
    </xf>
    <xf numFmtId="4" fontId="5" fillId="0" borderId="23" xfId="0" applyNumberFormat="1" applyFont="1" applyBorder="1" applyAlignment="1">
      <alignment vertical="center"/>
    </xf>
    <xf numFmtId="4" fontId="5" fillId="0" borderId="24" xfId="0" applyNumberFormat="1" applyFont="1" applyBorder="1" applyAlignment="1">
      <alignment vertical="center"/>
    </xf>
    <xf numFmtId="4" fontId="8" fillId="0" borderId="25" xfId="0" applyNumberFormat="1" applyFont="1" applyBorder="1" applyAlignment="1">
      <alignment vertical="center" wrapText="1"/>
    </xf>
    <xf numFmtId="0" fontId="0" fillId="0" borderId="26" xfId="0" applyBorder="1" applyAlignment="1">
      <alignment vertical="center"/>
    </xf>
    <xf numFmtId="4" fontId="8" fillId="0" borderId="26" xfId="0" applyNumberFormat="1" applyFont="1" applyBorder="1" applyAlignment="1">
      <alignment vertical="center" wrapText="1"/>
    </xf>
    <xf numFmtId="0" fontId="0" fillId="0" borderId="17" xfId="0" applyBorder="1" applyAlignment="1">
      <alignment vertical="center"/>
    </xf>
    <xf numFmtId="4" fontId="8" fillId="0" borderId="27" xfId="0" applyNumberFormat="1" applyFont="1" applyBorder="1" applyAlignment="1">
      <alignment vertical="center" wrapText="1"/>
    </xf>
    <xf numFmtId="4" fontId="14" fillId="0" borderId="0" xfId="0" applyNumberFormat="1" applyFont="1" applyAlignment="1">
      <alignment horizontal="right" vertical="center"/>
    </xf>
    <xf numFmtId="0" fontId="15" fillId="0" borderId="1" xfId="0" applyFont="1" applyBorder="1" applyAlignment="1">
      <alignment horizontal="right" vertical="center"/>
    </xf>
    <xf numFmtId="1" fontId="0" fillId="0" borderId="0" xfId="0" applyNumberFormat="1" applyAlignment="1"/>
    <xf numFmtId="0" fontId="38" fillId="2" borderId="28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9" fillId="0" borderId="30" xfId="0" applyFont="1" applyBorder="1" applyAlignment="1">
      <alignment horizontal="center" vertical="center"/>
    </xf>
    <xf numFmtId="0" fontId="39" fillId="0" borderId="23" xfId="0" applyFont="1" applyBorder="1" applyAlignment="1">
      <alignment vertical="center"/>
    </xf>
    <xf numFmtId="3" fontId="40" fillId="0" borderId="31" xfId="0" applyNumberFormat="1" applyFont="1" applyBorder="1" applyAlignment="1">
      <alignment horizontal="right" vertical="center"/>
    </xf>
    <xf numFmtId="0" fontId="41" fillId="0" borderId="32" xfId="0" applyFont="1" applyBorder="1" applyAlignment="1">
      <alignment horizontal="center" vertical="center"/>
    </xf>
    <xf numFmtId="0" fontId="42" fillId="0" borderId="24" xfId="0" applyFont="1" applyBorder="1" applyAlignment="1">
      <alignment vertical="center"/>
    </xf>
    <xf numFmtId="3" fontId="40" fillId="0" borderId="24" xfId="0" applyNumberFormat="1" applyFont="1" applyBorder="1" applyAlignment="1">
      <alignment horizontal="right" vertical="center"/>
    </xf>
    <xf numFmtId="3" fontId="40" fillId="0" borderId="33" xfId="0" applyNumberFormat="1" applyFont="1" applyBorder="1" applyAlignment="1">
      <alignment horizontal="right" vertical="center"/>
    </xf>
    <xf numFmtId="0" fontId="39" fillId="0" borderId="32" xfId="0" applyFont="1" applyBorder="1" applyAlignment="1">
      <alignment horizontal="center" vertical="center"/>
    </xf>
    <xf numFmtId="0" fontId="39" fillId="0" borderId="24" xfId="0" applyFont="1" applyBorder="1" applyAlignment="1">
      <alignment vertical="center" wrapText="1"/>
    </xf>
    <xf numFmtId="0" fontId="42" fillId="0" borderId="24" xfId="0" applyFont="1" applyBorder="1" applyAlignment="1">
      <alignment vertical="center" wrapText="1"/>
    </xf>
    <xf numFmtId="0" fontId="39" fillId="0" borderId="24" xfId="0" applyFont="1" applyBorder="1" applyAlignment="1">
      <alignment horizontal="left" vertical="center"/>
    </xf>
    <xf numFmtId="0" fontId="42" fillId="0" borderId="24" xfId="0" applyFont="1" applyBorder="1" applyAlignment="1">
      <alignment horizontal="left" vertical="center" wrapText="1"/>
    </xf>
    <xf numFmtId="0" fontId="42" fillId="0" borderId="24" xfId="0" applyFont="1" applyBorder="1" applyAlignment="1">
      <alignment horizontal="left" vertical="center"/>
    </xf>
    <xf numFmtId="0" fontId="39" fillId="0" borderId="24" xfId="0" applyFont="1" applyBorder="1" applyAlignment="1">
      <alignment horizontal="left" vertical="center" wrapText="1"/>
    </xf>
    <xf numFmtId="0" fontId="36" fillId="0" borderId="34" xfId="0" applyFont="1" applyBorder="1" applyAlignment="1">
      <alignment horizontal="center" vertical="center"/>
    </xf>
    <xf numFmtId="0" fontId="36" fillId="0" borderId="34" xfId="0" applyFont="1" applyBorder="1" applyAlignment="1">
      <alignment horizontal="left" vertical="center"/>
    </xf>
    <xf numFmtId="3" fontId="0" fillId="0" borderId="34" xfId="0" applyNumberFormat="1" applyBorder="1" applyAlignment="1">
      <alignment horizontal="right"/>
    </xf>
    <xf numFmtId="3" fontId="43" fillId="0" borderId="34" xfId="0" applyNumberFormat="1" applyFont="1" applyBorder="1" applyAlignment="1">
      <alignment horizontal="right"/>
    </xf>
    <xf numFmtId="3" fontId="0" fillId="0" borderId="0" xfId="0" applyNumberFormat="1"/>
    <xf numFmtId="3" fontId="0" fillId="0" borderId="0" xfId="0" applyNumberFormat="1" applyAlignment="1">
      <alignment vertical="center"/>
    </xf>
    <xf numFmtId="0" fontId="39" fillId="0" borderId="31" xfId="0" applyFont="1" applyBorder="1" applyAlignment="1">
      <alignment vertical="center"/>
    </xf>
    <xf numFmtId="4" fontId="44" fillId="0" borderId="0" xfId="0" applyNumberFormat="1" applyFont="1"/>
    <xf numFmtId="0" fontId="44" fillId="0" borderId="0" xfId="0" applyFont="1"/>
    <xf numFmtId="0" fontId="38" fillId="0" borderId="32" xfId="0" applyFont="1" applyBorder="1" applyAlignment="1">
      <alignment horizontal="center" vertical="center"/>
    </xf>
    <xf numFmtId="0" fontId="38" fillId="0" borderId="24" xfId="0" applyFont="1" applyBorder="1" applyAlignment="1">
      <alignment horizontal="left" vertical="center"/>
    </xf>
    <xf numFmtId="3" fontId="38" fillId="0" borderId="24" xfId="0" applyNumberFormat="1" applyFont="1" applyBorder="1" applyAlignment="1">
      <alignment horizontal="right" vertical="center"/>
    </xf>
    <xf numFmtId="0" fontId="45" fillId="2" borderId="36" xfId="0" applyFont="1" applyFill="1" applyBorder="1" applyAlignment="1">
      <alignment horizontal="center" vertical="center"/>
    </xf>
    <xf numFmtId="0" fontId="38" fillId="2" borderId="36" xfId="0" applyFont="1" applyFill="1" applyBorder="1" applyAlignment="1">
      <alignment horizontal="center" vertical="center"/>
    </xf>
    <xf numFmtId="0" fontId="39" fillId="0" borderId="37" xfId="0" applyFont="1" applyBorder="1" applyAlignment="1">
      <alignment horizontal="center" vertical="center"/>
    </xf>
    <xf numFmtId="0" fontId="39" fillId="0" borderId="23" xfId="0" applyFont="1" applyBorder="1" applyAlignment="1">
      <alignment horizontal="left" vertical="center"/>
    </xf>
    <xf numFmtId="3" fontId="40" fillId="0" borderId="23" xfId="0" applyNumberFormat="1" applyFont="1" applyBorder="1" applyAlignment="1">
      <alignment horizontal="right" vertical="center"/>
    </xf>
    <xf numFmtId="3" fontId="40" fillId="0" borderId="24" xfId="0" applyNumberFormat="1" applyFont="1" applyFill="1" applyBorder="1" applyAlignment="1">
      <alignment horizontal="right" vertical="center"/>
    </xf>
    <xf numFmtId="3" fontId="40" fillId="0" borderId="33" xfId="0" applyNumberFormat="1" applyFont="1" applyFill="1" applyBorder="1" applyAlignment="1">
      <alignment horizontal="right" vertical="center"/>
    </xf>
    <xf numFmtId="0" fontId="38" fillId="0" borderId="32" xfId="0" applyFont="1" applyBorder="1" applyAlignment="1">
      <alignment horizontal="left" vertical="center"/>
    </xf>
    <xf numFmtId="0" fontId="42" fillId="0" borderId="32" xfId="0" applyFont="1" applyBorder="1" applyAlignment="1">
      <alignment horizontal="left" vertical="center" wrapText="1"/>
    </xf>
    <xf numFmtId="0" fontId="42" fillId="0" borderId="32" xfId="0" applyFont="1" applyBorder="1" applyAlignment="1">
      <alignment horizontal="left" vertical="center"/>
    </xf>
    <xf numFmtId="3" fontId="38" fillId="0" borderId="38" xfId="0" applyNumberFormat="1" applyFont="1" applyBorder="1" applyAlignment="1">
      <alignment horizontal="right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3" fontId="40" fillId="0" borderId="0" xfId="0" applyNumberFormat="1" applyFont="1" applyBorder="1" applyAlignment="1">
      <alignment horizontal="right" vertical="center"/>
    </xf>
    <xf numFmtId="0" fontId="0" fillId="0" borderId="0" xfId="0" applyAlignment="1">
      <alignment horizontal="left"/>
    </xf>
    <xf numFmtId="4" fontId="0" fillId="0" borderId="0" xfId="0" applyNumberFormat="1" applyBorder="1"/>
    <xf numFmtId="0" fontId="38" fillId="2" borderId="29" xfId="0" applyFont="1" applyFill="1" applyBorder="1" applyAlignment="1">
      <alignment horizontal="center" vertical="center"/>
    </xf>
    <xf numFmtId="0" fontId="42" fillId="0" borderId="0" xfId="0" applyFont="1"/>
    <xf numFmtId="0" fontId="47" fillId="0" borderId="0" xfId="0" applyFont="1" applyAlignment="1">
      <alignment horizontal="right"/>
    </xf>
    <xf numFmtId="0" fontId="48" fillId="2" borderId="28" xfId="0" applyFont="1" applyFill="1" applyBorder="1" applyAlignment="1">
      <alignment horizontal="center" vertical="center"/>
    </xf>
    <xf numFmtId="0" fontId="48" fillId="2" borderId="29" xfId="0" applyFont="1" applyFill="1" applyBorder="1" applyAlignment="1">
      <alignment horizontal="center" vertical="center"/>
    </xf>
    <xf numFmtId="0" fontId="48" fillId="0" borderId="31" xfId="0" applyFont="1" applyBorder="1" applyAlignment="1">
      <alignment horizontal="center" vertical="center"/>
    </xf>
    <xf numFmtId="3" fontId="48" fillId="0" borderId="31" xfId="0" applyNumberFormat="1" applyFont="1" applyBorder="1" applyAlignment="1">
      <alignment horizontal="right" vertical="center"/>
    </xf>
    <xf numFmtId="0" fontId="42" fillId="0" borderId="32" xfId="0" applyFont="1" applyBorder="1" applyAlignment="1">
      <alignment horizontal="center" vertical="center"/>
    </xf>
    <xf numFmtId="0" fontId="42" fillId="0" borderId="33" xfId="0" applyFont="1" applyBorder="1" applyAlignment="1">
      <alignment vertical="center" wrapText="1"/>
    </xf>
    <xf numFmtId="3" fontId="42" fillId="0" borderId="24" xfId="0" applyNumberFormat="1" applyFont="1" applyBorder="1" applyAlignment="1">
      <alignment horizontal="right" vertical="center"/>
    </xf>
    <xf numFmtId="0" fontId="42" fillId="0" borderId="34" xfId="0" applyFont="1" applyBorder="1" applyAlignment="1">
      <alignment horizontal="center" vertical="center"/>
    </xf>
    <xf numFmtId="3" fontId="48" fillId="0" borderId="24" xfId="0" applyNumberFormat="1" applyFont="1" applyBorder="1" applyAlignment="1">
      <alignment horizontal="right" vertical="center"/>
    </xf>
    <xf numFmtId="3" fontId="48" fillId="0" borderId="26" xfId="0" applyNumberFormat="1" applyFont="1" applyFill="1" applyBorder="1" applyAlignment="1">
      <alignment horizontal="right" vertical="center"/>
    </xf>
    <xf numFmtId="3" fontId="42" fillId="0" borderId="24" xfId="0" applyNumberFormat="1" applyFont="1" applyFill="1" applyBorder="1" applyAlignment="1">
      <alignment horizontal="right" vertical="center"/>
    </xf>
    <xf numFmtId="0" fontId="42" fillId="0" borderId="33" xfId="0" applyFont="1" applyBorder="1" applyAlignment="1">
      <alignment horizontal="left" vertical="center" wrapText="1"/>
    </xf>
    <xf numFmtId="0" fontId="42" fillId="0" borderId="41" xfId="0" applyFont="1" applyBorder="1" applyAlignment="1">
      <alignment vertical="center" wrapText="1"/>
    </xf>
    <xf numFmtId="3" fontId="42" fillId="0" borderId="26" xfId="0" applyNumberFormat="1" applyFont="1" applyFill="1" applyBorder="1" applyAlignment="1">
      <alignment horizontal="right" vertical="center"/>
    </xf>
    <xf numFmtId="0" fontId="42" fillId="0" borderId="41" xfId="0" applyFont="1" applyBorder="1" applyAlignment="1">
      <alignment horizontal="left" vertical="center" wrapText="1"/>
    </xf>
    <xf numFmtId="0" fontId="48" fillId="0" borderId="24" xfId="0" applyFont="1" applyBorder="1" applyAlignment="1">
      <alignment horizontal="center" vertical="center"/>
    </xf>
    <xf numFmtId="0" fontId="42" fillId="0" borderId="32" xfId="0" applyFont="1" applyBorder="1" applyAlignment="1">
      <alignment horizontal="center" vertical="center" wrapText="1"/>
    </xf>
    <xf numFmtId="0" fontId="42" fillId="0" borderId="30" xfId="0" applyFont="1" applyBorder="1" applyAlignment="1">
      <alignment horizontal="center" vertical="center"/>
    </xf>
    <xf numFmtId="3" fontId="42" fillId="0" borderId="33" xfId="0" applyNumberFormat="1" applyFont="1" applyBorder="1" applyAlignment="1">
      <alignment horizontal="right" vertical="center"/>
    </xf>
    <xf numFmtId="0" fontId="48" fillId="0" borderId="42" xfId="0" applyFont="1" applyBorder="1" applyAlignment="1">
      <alignment horizontal="center" vertical="center"/>
    </xf>
    <xf numFmtId="3" fontId="48" fillId="0" borderId="42" xfId="0" applyNumberFormat="1" applyFont="1" applyBorder="1" applyAlignment="1">
      <alignment horizontal="right" vertical="center"/>
    </xf>
    <xf numFmtId="0" fontId="48" fillId="0" borderId="37" xfId="0" applyFont="1" applyBorder="1" applyAlignment="1">
      <alignment horizontal="center" vertical="center"/>
    </xf>
    <xf numFmtId="3" fontId="48" fillId="0" borderId="38" xfId="0" applyNumberFormat="1" applyFont="1" applyBorder="1" applyAlignment="1">
      <alignment horizontal="right" vertical="center" wrapText="1"/>
    </xf>
    <xf numFmtId="0" fontId="48" fillId="0" borderId="32" xfId="0" applyFont="1" applyBorder="1" applyAlignment="1">
      <alignment horizontal="center" vertical="center"/>
    </xf>
    <xf numFmtId="0" fontId="48" fillId="0" borderId="33" xfId="0" applyFont="1" applyBorder="1" applyAlignment="1">
      <alignment horizontal="left" vertical="center" wrapText="1"/>
    </xf>
    <xf numFmtId="0" fontId="0" fillId="0" borderId="0" xfId="0" applyFill="1"/>
    <xf numFmtId="0" fontId="48" fillId="0" borderId="43" xfId="0" applyFont="1" applyBorder="1" applyAlignment="1">
      <alignment horizontal="center" vertical="center"/>
    </xf>
    <xf numFmtId="0" fontId="42" fillId="0" borderId="0" xfId="0" applyFont="1" applyAlignment="1">
      <alignment horizontal="center"/>
    </xf>
    <xf numFmtId="0" fontId="42" fillId="0" borderId="0" xfId="0" applyFont="1" applyAlignment="1">
      <alignment vertical="center" wrapText="1"/>
    </xf>
    <xf numFmtId="0" fontId="0" fillId="0" borderId="0" xfId="0" applyFont="1"/>
    <xf numFmtId="0" fontId="48" fillId="0" borderId="23" xfId="0" applyFont="1" applyBorder="1" applyAlignment="1">
      <alignment horizontal="center" vertical="center"/>
    </xf>
    <xf numFmtId="0" fontId="48" fillId="0" borderId="38" xfId="0" applyFont="1" applyBorder="1" applyAlignment="1">
      <alignment horizontal="left" vertical="center" wrapText="1"/>
    </xf>
    <xf numFmtId="166" fontId="42" fillId="0" borderId="38" xfId="0" applyNumberFormat="1" applyFont="1" applyBorder="1" applyAlignment="1">
      <alignment horizontal="right" vertical="center"/>
    </xf>
    <xf numFmtId="166" fontId="42" fillId="0" borderId="23" xfId="0" applyNumberFormat="1" applyFont="1" applyBorder="1" applyAlignment="1">
      <alignment horizontal="right" vertical="center"/>
    </xf>
    <xf numFmtId="166" fontId="42" fillId="0" borderId="33" xfId="0" applyNumberFormat="1" applyFont="1" applyBorder="1" applyAlignment="1">
      <alignment horizontal="right" vertical="center"/>
    </xf>
    <xf numFmtId="166" fontId="42" fillId="0" borderId="24" xfId="0" applyNumberFormat="1" applyFont="1" applyBorder="1" applyAlignment="1">
      <alignment horizontal="right" vertical="center"/>
    </xf>
    <xf numFmtId="166" fontId="42" fillId="0" borderId="34" xfId="0" applyNumberFormat="1" applyFont="1" applyBorder="1" applyAlignment="1">
      <alignment horizontal="right" vertical="center"/>
    </xf>
    <xf numFmtId="0" fontId="42" fillId="0" borderId="43" xfId="0" applyFont="1" applyBorder="1" applyAlignment="1">
      <alignment horizontal="center" vertical="center"/>
    </xf>
    <xf numFmtId="0" fontId="42" fillId="0" borderId="44" xfId="0" applyFont="1" applyBorder="1" applyAlignment="1">
      <alignment vertical="center" wrapText="1"/>
    </xf>
    <xf numFmtId="166" fontId="42" fillId="0" borderId="44" xfId="0" applyNumberFormat="1" applyFont="1" applyBorder="1" applyAlignment="1">
      <alignment horizontal="right" vertical="center"/>
    </xf>
    <xf numFmtId="166" fontId="42" fillId="0" borderId="42" xfId="0" applyNumberFormat="1" applyFont="1" applyBorder="1" applyAlignment="1">
      <alignment horizontal="right" vertical="center"/>
    </xf>
    <xf numFmtId="0" fontId="42" fillId="0" borderId="0" xfId="0" applyFont="1" applyBorder="1"/>
    <xf numFmtId="0" fontId="42" fillId="0" borderId="0" xfId="0" applyFont="1" applyBorder="1" applyAlignment="1">
      <alignment vertical="center" wrapText="1"/>
    </xf>
    <xf numFmtId="0" fontId="0" fillId="0" borderId="0" xfId="0" applyFont="1" applyBorder="1"/>
    <xf numFmtId="3" fontId="42" fillId="0" borderId="23" xfId="0" applyNumberFormat="1" applyFont="1" applyBorder="1" applyAlignment="1">
      <alignment horizontal="right" vertical="center"/>
    </xf>
    <xf numFmtId="3" fontId="42" fillId="0" borderId="45" xfId="0" applyNumberFormat="1" applyFont="1" applyBorder="1" applyAlignment="1">
      <alignment horizontal="right" vertical="center"/>
    </xf>
    <xf numFmtId="3" fontId="42" fillId="0" borderId="34" xfId="0" applyNumberFormat="1" applyFont="1" applyBorder="1" applyAlignment="1">
      <alignment horizontal="right" vertical="center"/>
    </xf>
    <xf numFmtId="3" fontId="42" fillId="0" borderId="42" xfId="0" applyNumberFormat="1" applyFont="1" applyBorder="1" applyAlignment="1">
      <alignment horizontal="right" vertical="center"/>
    </xf>
    <xf numFmtId="3" fontId="42" fillId="0" borderId="46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vertical="center"/>
    </xf>
    <xf numFmtId="0" fontId="0" fillId="0" borderId="0" xfId="0" applyBorder="1" applyAlignment="1"/>
    <xf numFmtId="0" fontId="47" fillId="0" borderId="0" xfId="0" applyFont="1" applyAlignment="1">
      <alignment horizontal="right" vertical="center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0" fillId="0" borderId="1" xfId="0" applyFont="1" applyBorder="1" applyAlignment="1">
      <alignment vertical="center" wrapText="1"/>
    </xf>
    <xf numFmtId="3" fontId="24" fillId="0" borderId="1" xfId="0" applyNumberFormat="1" applyFont="1" applyFill="1" applyBorder="1" applyAlignment="1">
      <alignment vertical="center"/>
    </xf>
    <xf numFmtId="0" fontId="20" fillId="0" borderId="11" xfId="0" applyFont="1" applyBorder="1" applyAlignment="1">
      <alignment vertical="center"/>
    </xf>
    <xf numFmtId="0" fontId="25" fillId="0" borderId="1" xfId="0" applyFont="1" applyBorder="1" applyAlignment="1">
      <alignment vertical="center" wrapText="1"/>
    </xf>
    <xf numFmtId="3" fontId="3" fillId="0" borderId="1" xfId="0" applyNumberFormat="1" applyFont="1" applyBorder="1" applyAlignment="1">
      <alignment vertical="center"/>
    </xf>
    <xf numFmtId="3" fontId="26" fillId="0" borderId="1" xfId="0" applyNumberFormat="1" applyFont="1" applyFill="1" applyBorder="1" applyAlignment="1">
      <alignment vertical="center"/>
    </xf>
    <xf numFmtId="3" fontId="3" fillId="0" borderId="9" xfId="0" applyNumberFormat="1" applyFont="1" applyBorder="1" applyAlignment="1">
      <alignment vertical="center"/>
    </xf>
    <xf numFmtId="0" fontId="25" fillId="0" borderId="11" xfId="0" applyFont="1" applyBorder="1" applyAlignment="1">
      <alignment vertical="center" wrapText="1"/>
    </xf>
    <xf numFmtId="0" fontId="25" fillId="0" borderId="10" xfId="0" applyFont="1" applyBorder="1" applyAlignment="1">
      <alignment vertical="center" wrapText="1"/>
    </xf>
    <xf numFmtId="3" fontId="3" fillId="0" borderId="10" xfId="0" applyNumberFormat="1" applyFont="1" applyBorder="1" applyAlignment="1">
      <alignment vertical="center"/>
    </xf>
    <xf numFmtId="3" fontId="26" fillId="0" borderId="10" xfId="0" applyNumberFormat="1" applyFont="1" applyFill="1" applyBorder="1" applyAlignment="1">
      <alignment vertical="center"/>
    </xf>
    <xf numFmtId="3" fontId="3" fillId="0" borderId="47" xfId="0" applyNumberFormat="1" applyFont="1" applyBorder="1" applyAlignment="1">
      <alignment vertical="center"/>
    </xf>
    <xf numFmtId="0" fontId="25" fillId="0" borderId="48" xfId="0" applyFont="1" applyBorder="1" applyAlignment="1">
      <alignment vertical="center" wrapText="1"/>
    </xf>
    <xf numFmtId="3" fontId="3" fillId="0" borderId="48" xfId="0" applyNumberFormat="1" applyFont="1" applyBorder="1" applyAlignment="1">
      <alignment vertical="center"/>
    </xf>
    <xf numFmtId="3" fontId="26" fillId="0" borderId="48" xfId="0" applyNumberFormat="1" applyFont="1" applyFill="1" applyBorder="1" applyAlignment="1">
      <alignment vertical="center"/>
    </xf>
    <xf numFmtId="3" fontId="3" fillId="0" borderId="49" xfId="0" applyNumberFormat="1" applyFont="1" applyBorder="1" applyAlignment="1">
      <alignment vertical="center"/>
    </xf>
    <xf numFmtId="0" fontId="25" fillId="3" borderId="10" xfId="0" applyFont="1" applyFill="1" applyBorder="1" applyAlignment="1">
      <alignment vertical="center" wrapText="1"/>
    </xf>
    <xf numFmtId="0" fontId="25" fillId="3" borderId="1" xfId="0" applyFont="1" applyFill="1" applyBorder="1" applyAlignment="1">
      <alignment vertical="center" wrapText="1"/>
    </xf>
    <xf numFmtId="3" fontId="3" fillId="3" borderId="1" xfId="0" applyNumberFormat="1" applyFont="1" applyFill="1" applyBorder="1" applyAlignment="1">
      <alignment vertical="center"/>
    </xf>
    <xf numFmtId="3" fontId="26" fillId="3" borderId="1" xfId="0" applyNumberFormat="1" applyFont="1" applyFill="1" applyBorder="1" applyAlignment="1">
      <alignment vertical="center"/>
    </xf>
    <xf numFmtId="3" fontId="24" fillId="0" borderId="9" xfId="0" applyNumberFormat="1" applyFont="1" applyFill="1" applyBorder="1" applyAlignment="1">
      <alignment vertical="center"/>
    </xf>
    <xf numFmtId="0" fontId="25" fillId="0" borderId="39" xfId="0" applyFont="1" applyBorder="1" applyAlignment="1">
      <alignment vertical="center" wrapText="1"/>
    </xf>
    <xf numFmtId="3" fontId="26" fillId="0" borderId="9" xfId="0" applyNumberFormat="1" applyFont="1" applyFill="1" applyBorder="1" applyAlignment="1">
      <alignment vertical="center"/>
    </xf>
    <xf numFmtId="0" fontId="27" fillId="0" borderId="11" xfId="0" applyFont="1" applyBorder="1" applyAlignment="1">
      <alignment vertical="center" wrapText="1"/>
    </xf>
    <xf numFmtId="3" fontId="3" fillId="0" borderId="50" xfId="0" applyNumberFormat="1" applyFont="1" applyBorder="1" applyAlignment="1">
      <alignment vertical="center"/>
    </xf>
    <xf numFmtId="3" fontId="3" fillId="0" borderId="51" xfId="0" applyNumberFormat="1" applyFont="1" applyBorder="1" applyAlignment="1">
      <alignment vertical="center"/>
    </xf>
    <xf numFmtId="0" fontId="27" fillId="0" borderId="12" xfId="0" applyFont="1" applyBorder="1" applyAlignment="1">
      <alignment vertical="center" wrapText="1"/>
    </xf>
    <xf numFmtId="0" fontId="25" fillId="0" borderId="50" xfId="0" applyFont="1" applyBorder="1" applyAlignment="1">
      <alignment vertical="center" wrapText="1"/>
    </xf>
    <xf numFmtId="3" fontId="26" fillId="0" borderId="50" xfId="0" applyNumberFormat="1" applyFont="1" applyFill="1" applyBorder="1" applyAlignment="1">
      <alignment vertical="center"/>
    </xf>
    <xf numFmtId="3" fontId="22" fillId="0" borderId="19" xfId="0" applyNumberFormat="1" applyFont="1" applyBorder="1" applyAlignment="1">
      <alignment vertical="center"/>
    </xf>
    <xf numFmtId="3" fontId="22" fillId="0" borderId="20" xfId="0" applyNumberFormat="1" applyFont="1" applyBorder="1" applyAlignment="1">
      <alignment vertical="center"/>
    </xf>
    <xf numFmtId="3" fontId="23" fillId="0" borderId="19" xfId="0" applyNumberFormat="1" applyFont="1" applyFill="1" applyBorder="1" applyAlignment="1">
      <alignment vertical="center"/>
    </xf>
    <xf numFmtId="0" fontId="19" fillId="0" borderId="0" xfId="0" applyFont="1" applyBorder="1" applyAlignment="1">
      <alignment horizontal="right" vertical="center" wrapText="1"/>
    </xf>
    <xf numFmtId="3" fontId="22" fillId="0" borderId="0" xfId="0" applyNumberFormat="1" applyFont="1" applyBorder="1" applyAlignment="1">
      <alignment vertical="center"/>
    </xf>
    <xf numFmtId="3" fontId="23" fillId="0" borderId="0" xfId="0" applyNumberFormat="1" applyFont="1" applyFill="1" applyBorder="1" applyAlignment="1">
      <alignment vertical="center"/>
    </xf>
    <xf numFmtId="3" fontId="42" fillId="0" borderId="0" xfId="0" applyNumberFormat="1" applyFont="1" applyBorder="1"/>
    <xf numFmtId="0" fontId="42" fillId="0" borderId="0" xfId="0" applyFont="1" applyFill="1" applyBorder="1" applyAlignment="1">
      <alignment horizontal="right"/>
    </xf>
    <xf numFmtId="3" fontId="49" fillId="0" borderId="0" xfId="0" applyNumberFormat="1" applyFont="1"/>
    <xf numFmtId="3" fontId="42" fillId="0" borderId="0" xfId="0" applyNumberFormat="1" applyFont="1"/>
    <xf numFmtId="0" fontId="29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/>
    </xf>
    <xf numFmtId="0" fontId="42" fillId="0" borderId="1" xfId="0" applyFont="1" applyBorder="1" applyAlignment="1">
      <alignment horizontal="center" vertical="center" wrapText="1"/>
    </xf>
    <xf numFmtId="167" fontId="42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3" fontId="50" fillId="0" borderId="26" xfId="0" applyNumberFormat="1" applyFont="1" applyFill="1" applyBorder="1" applyAlignment="1">
      <alignment horizontal="right" vertical="center"/>
    </xf>
    <xf numFmtId="3" fontId="51" fillId="0" borderId="24" xfId="0" applyNumberFormat="1" applyFont="1" applyBorder="1" applyAlignment="1">
      <alignment horizontal="right" vertical="center"/>
    </xf>
    <xf numFmtId="3" fontId="51" fillId="0" borderId="24" xfId="0" applyNumberFormat="1" applyFont="1" applyFill="1" applyBorder="1" applyAlignment="1">
      <alignment horizontal="right" vertical="center"/>
    </xf>
    <xf numFmtId="3" fontId="51" fillId="0" borderId="26" xfId="0" applyNumberFormat="1" applyFont="1" applyFill="1" applyBorder="1" applyAlignment="1">
      <alignment horizontal="right" vertical="center"/>
    </xf>
    <xf numFmtId="0" fontId="48" fillId="0" borderId="33" xfId="0" applyFont="1" applyBorder="1" applyAlignment="1">
      <alignment horizontal="right" vertical="center" wrapText="1"/>
    </xf>
    <xf numFmtId="165" fontId="42" fillId="0" borderId="33" xfId="0" applyNumberFormat="1" applyFont="1" applyBorder="1" applyAlignment="1">
      <alignment vertical="center" wrapText="1"/>
    </xf>
    <xf numFmtId="10" fontId="42" fillId="0" borderId="33" xfId="0" applyNumberFormat="1" applyFont="1" applyBorder="1" applyAlignment="1">
      <alignment vertical="center" wrapText="1"/>
    </xf>
    <xf numFmtId="10" fontId="42" fillId="0" borderId="44" xfId="0" applyNumberFormat="1" applyFont="1" applyBorder="1" applyAlignment="1">
      <alignment horizontal="right" vertical="center" wrapText="1"/>
    </xf>
    <xf numFmtId="3" fontId="31" fillId="0" borderId="24" xfId="0" applyNumberFormat="1" applyFont="1" applyBorder="1" applyAlignment="1">
      <alignment horizontal="right" vertical="center"/>
    </xf>
    <xf numFmtId="0" fontId="48" fillId="0" borderId="33" xfId="0" applyFont="1" applyBorder="1" applyAlignment="1">
      <alignment horizontal="left" vertical="center" wrapText="1"/>
    </xf>
    <xf numFmtId="0" fontId="47" fillId="0" borderId="0" xfId="0" applyFont="1" applyAlignment="1">
      <alignment horizontal="right"/>
    </xf>
    <xf numFmtId="0" fontId="48" fillId="2" borderId="2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0" borderId="1" xfId="0" applyFont="1" applyBorder="1" applyAlignment="1">
      <alignment vertical="center" wrapText="1"/>
    </xf>
    <xf numFmtId="0" fontId="42" fillId="0" borderId="33" xfId="0" quotePrefix="1" applyFont="1" applyBorder="1" applyAlignment="1">
      <alignment vertical="center" wrapText="1"/>
    </xf>
    <xf numFmtId="0" fontId="42" fillId="0" borderId="33" xfId="0" quotePrefix="1" applyFont="1" applyBorder="1" applyAlignment="1">
      <alignment horizontal="left" vertical="center" wrapText="1"/>
    </xf>
    <xf numFmtId="0" fontId="42" fillId="0" borderId="41" xfId="0" quotePrefix="1" applyFont="1" applyBorder="1" applyAlignment="1">
      <alignment vertical="center" wrapText="1"/>
    </xf>
    <xf numFmtId="0" fontId="42" fillId="0" borderId="41" xfId="0" quotePrefix="1" applyFont="1" applyBorder="1" applyAlignment="1">
      <alignment horizontal="left" vertical="center" wrapText="1"/>
    </xf>
    <xf numFmtId="3" fontId="30" fillId="0" borderId="1" xfId="0" applyNumberFormat="1" applyFont="1" applyBorder="1" applyAlignment="1">
      <alignment vertical="center"/>
    </xf>
    <xf numFmtId="3" fontId="30" fillId="0" borderId="1" xfId="0" applyNumberFormat="1" applyFont="1" applyFill="1" applyBorder="1" applyAlignment="1">
      <alignment vertical="center"/>
    </xf>
    <xf numFmtId="168" fontId="42" fillId="0" borderId="1" xfId="0" applyNumberFormat="1" applyFont="1" applyBorder="1" applyAlignment="1">
      <alignment horizontal="center" vertical="center"/>
    </xf>
    <xf numFmtId="0" fontId="42" fillId="0" borderId="1" xfId="0" quotePrefix="1" applyFont="1" applyBorder="1" applyAlignment="1">
      <alignment vertical="center" wrapText="1"/>
    </xf>
    <xf numFmtId="0" fontId="42" fillId="0" borderId="1" xfId="0" quotePrefix="1" applyFont="1" applyBorder="1" applyAlignment="1">
      <alignment horizontal="left" vertical="center" wrapText="1"/>
    </xf>
    <xf numFmtId="3" fontId="42" fillId="0" borderId="1" xfId="0" applyNumberFormat="1" applyFont="1" applyBorder="1" applyAlignment="1">
      <alignment vertical="center"/>
    </xf>
    <xf numFmtId="3" fontId="29" fillId="0" borderId="1" xfId="0" applyNumberFormat="1" applyFont="1" applyBorder="1" applyAlignment="1">
      <alignment vertical="center"/>
    </xf>
    <xf numFmtId="167" fontId="39" fillId="0" borderId="1" xfId="0" applyNumberFormat="1" applyFont="1" applyBorder="1" applyAlignment="1">
      <alignment horizontal="center" vertical="center"/>
    </xf>
    <xf numFmtId="3" fontId="31" fillId="0" borderId="24" xfId="0" applyNumberFormat="1" applyFont="1" applyFill="1" applyBorder="1" applyAlignment="1">
      <alignment horizontal="right" vertical="center"/>
    </xf>
    <xf numFmtId="3" fontId="42" fillId="0" borderId="33" xfId="0" applyNumberFormat="1" applyFont="1" applyBorder="1" applyAlignment="1">
      <alignment horizontal="right" vertical="center" wrapText="1"/>
    </xf>
    <xf numFmtId="3" fontId="42" fillId="0" borderId="44" xfId="0" applyNumberFormat="1" applyFont="1" applyBorder="1" applyAlignment="1">
      <alignment horizontal="right" vertical="center" wrapText="1"/>
    </xf>
    <xf numFmtId="3" fontId="42" fillId="0" borderId="44" xfId="0" applyNumberFormat="1" applyFont="1" applyBorder="1" applyAlignment="1">
      <alignment horizontal="right" vertical="center"/>
    </xf>
    <xf numFmtId="3" fontId="42" fillId="0" borderId="0" xfId="0" applyNumberFormat="1" applyFont="1" applyBorder="1" applyAlignment="1">
      <alignment horizontal="right" vertical="center" wrapText="1"/>
    </xf>
    <xf numFmtId="3" fontId="0" fillId="0" borderId="0" xfId="0" applyNumberFormat="1" applyFont="1" applyBorder="1" applyAlignment="1">
      <alignment horizontal="right" vertical="center"/>
    </xf>
    <xf numFmtId="3" fontId="48" fillId="0" borderId="33" xfId="0" applyNumberFormat="1" applyFont="1" applyBorder="1" applyAlignment="1">
      <alignment horizontal="right" vertical="center" wrapText="1"/>
    </xf>
    <xf numFmtId="0" fontId="33" fillId="0" borderId="10" xfId="0" applyFont="1" applyBorder="1" applyAlignment="1">
      <alignment vertical="center" wrapText="1"/>
    </xf>
    <xf numFmtId="3" fontId="31" fillId="3" borderId="24" xfId="0" applyNumberFormat="1" applyFont="1" applyFill="1" applyBorder="1" applyAlignment="1">
      <alignment horizontal="right" vertical="center"/>
    </xf>
    <xf numFmtId="3" fontId="31" fillId="0" borderId="26" xfId="0" applyNumberFormat="1" applyFont="1" applyFill="1" applyBorder="1" applyAlignment="1">
      <alignment horizontal="right" vertical="center"/>
    </xf>
    <xf numFmtId="3" fontId="48" fillId="0" borderId="24" xfId="0" applyNumberFormat="1" applyFont="1" applyFill="1" applyBorder="1" applyAlignment="1">
      <alignment horizontal="right" vertical="center"/>
    </xf>
    <xf numFmtId="0" fontId="34" fillId="0" borderId="2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/>
    </xf>
    <xf numFmtId="0" fontId="34" fillId="0" borderId="4" xfId="0" applyFont="1" applyBorder="1" applyAlignment="1">
      <alignment horizontal="center" vertical="center"/>
    </xf>
    <xf numFmtId="3" fontId="42" fillId="3" borderId="24" xfId="0" applyNumberFormat="1" applyFont="1" applyFill="1" applyBorder="1" applyAlignment="1">
      <alignment horizontal="right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3" fontId="16" fillId="0" borderId="24" xfId="0" applyNumberFormat="1" applyFont="1" applyFill="1" applyBorder="1" applyAlignment="1">
      <alignment horizontal="right" vertical="center"/>
    </xf>
    <xf numFmtId="3" fontId="48" fillId="0" borderId="23" xfId="0" applyNumberFormat="1" applyFont="1" applyBorder="1" applyAlignment="1">
      <alignment horizontal="right" vertical="center"/>
    </xf>
    <xf numFmtId="3" fontId="48" fillId="0" borderId="45" xfId="0" applyNumberFormat="1" applyFont="1" applyBorder="1" applyAlignment="1">
      <alignment horizontal="right" vertical="center"/>
    </xf>
    <xf numFmtId="10" fontId="35" fillId="0" borderId="1" xfId="0" applyNumberFormat="1" applyFont="1" applyBorder="1" applyAlignment="1">
      <alignment horizontal="right" vertical="center"/>
    </xf>
    <xf numFmtId="4" fontId="35" fillId="0" borderId="1" xfId="0" applyNumberFormat="1" applyFont="1" applyBorder="1" applyAlignment="1">
      <alignment vertical="center"/>
    </xf>
    <xf numFmtId="4" fontId="35" fillId="0" borderId="10" xfId="0" applyNumberFormat="1" applyFont="1" applyBorder="1" applyAlignment="1">
      <alignment vertical="center"/>
    </xf>
    <xf numFmtId="0" fontId="52" fillId="0" borderId="0" xfId="0" applyFont="1" applyAlignment="1">
      <alignment horizontal="center" vertical="center"/>
    </xf>
    <xf numFmtId="0" fontId="53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3" fontId="49" fillId="0" borderId="0" xfId="0" applyNumberFormat="1" applyFont="1" applyAlignment="1">
      <alignment vertical="center"/>
    </xf>
    <xf numFmtId="3" fontId="42" fillId="0" borderId="0" xfId="0" applyNumberFormat="1" applyFont="1" applyAlignment="1">
      <alignment vertical="center"/>
    </xf>
    <xf numFmtId="3" fontId="42" fillId="0" borderId="9" xfId="0" applyNumberFormat="1" applyFont="1" applyBorder="1" applyAlignment="1">
      <alignment vertical="center"/>
    </xf>
    <xf numFmtId="0" fontId="42" fillId="0" borderId="50" xfId="0" quotePrefix="1" applyFont="1" applyBorder="1" applyAlignment="1">
      <alignment vertical="center"/>
    </xf>
    <xf numFmtId="3" fontId="42" fillId="0" borderId="50" xfId="0" applyNumberFormat="1" applyFont="1" applyBorder="1" applyAlignment="1">
      <alignment vertical="center"/>
    </xf>
    <xf numFmtId="3" fontId="42" fillId="0" borderId="51" xfId="0" applyNumberFormat="1" applyFont="1" applyBorder="1" applyAlignment="1">
      <alignment vertical="center"/>
    </xf>
    <xf numFmtId="0" fontId="20" fillId="0" borderId="1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42" fillId="0" borderId="48" xfId="0" quotePrefix="1" applyFont="1" applyBorder="1" applyAlignment="1">
      <alignment vertical="center"/>
    </xf>
    <xf numFmtId="3" fontId="42" fillId="0" borderId="48" xfId="0" applyNumberFormat="1" applyFont="1" applyBorder="1" applyAlignment="1">
      <alignment vertical="center"/>
    </xf>
    <xf numFmtId="3" fontId="42" fillId="0" borderId="49" xfId="0" applyNumberFormat="1" applyFont="1" applyBorder="1" applyAlignment="1">
      <alignment vertical="center"/>
    </xf>
    <xf numFmtId="3" fontId="38" fillId="0" borderId="19" xfId="0" applyNumberFormat="1" applyFont="1" applyBorder="1" applyAlignment="1">
      <alignment vertical="center"/>
    </xf>
    <xf numFmtId="3" fontId="38" fillId="0" borderId="20" xfId="0" applyNumberFormat="1" applyFont="1" applyBorder="1" applyAlignment="1">
      <alignment vertical="center"/>
    </xf>
    <xf numFmtId="0" fontId="42" fillId="0" borderId="10" xfId="0" quotePrefix="1" applyFont="1" applyBorder="1" applyAlignment="1">
      <alignment vertical="center"/>
    </xf>
    <xf numFmtId="3" fontId="42" fillId="0" borderId="10" xfId="0" applyNumberFormat="1" applyFont="1" applyBorder="1" applyAlignment="1">
      <alignment vertical="center"/>
    </xf>
    <xf numFmtId="3" fontId="42" fillId="0" borderId="47" xfId="0" applyNumberFormat="1" applyFont="1" applyBorder="1" applyAlignment="1">
      <alignment vertical="center"/>
    </xf>
    <xf numFmtId="0" fontId="42" fillId="0" borderId="11" xfId="0" applyFont="1" applyBorder="1" applyAlignment="1"/>
    <xf numFmtId="0" fontId="42" fillId="0" borderId="48" xfId="0" quotePrefix="1" applyFont="1" applyBorder="1" applyAlignment="1">
      <alignment vertical="center" wrapText="1"/>
    </xf>
    <xf numFmtId="0" fontId="42" fillId="0" borderId="52" xfId="0" applyFont="1" applyFill="1" applyBorder="1" applyAlignment="1">
      <alignment horizontal="right" vertical="center"/>
    </xf>
    <xf numFmtId="3" fontId="42" fillId="0" borderId="50" xfId="0" applyNumberFormat="1" applyFont="1" applyFill="1" applyBorder="1"/>
    <xf numFmtId="3" fontId="42" fillId="0" borderId="50" xfId="0" applyNumberFormat="1" applyFont="1" applyFill="1" applyBorder="1" applyAlignment="1">
      <alignment vertical="center"/>
    </xf>
    <xf numFmtId="3" fontId="42" fillId="0" borderId="51" xfId="0" applyNumberFormat="1" applyFont="1" applyFill="1" applyBorder="1" applyAlignment="1">
      <alignment vertical="center"/>
    </xf>
    <xf numFmtId="0" fontId="42" fillId="0" borderId="53" xfId="0" applyFont="1" applyBorder="1" applyAlignment="1">
      <alignment horizontal="right" vertical="center" wrapText="1"/>
    </xf>
    <xf numFmtId="3" fontId="42" fillId="0" borderId="48" xfId="0" applyNumberFormat="1" applyFont="1" applyFill="1" applyBorder="1"/>
    <xf numFmtId="3" fontId="42" fillId="0" borderId="48" xfId="0" applyNumberFormat="1" applyFont="1" applyFill="1" applyBorder="1" applyAlignment="1">
      <alignment vertical="center"/>
    </xf>
    <xf numFmtId="3" fontId="42" fillId="0" borderId="49" xfId="0" applyNumberFormat="1" applyFont="1" applyFill="1" applyBorder="1" applyAlignment="1">
      <alignment vertical="center"/>
    </xf>
    <xf numFmtId="0" fontId="52" fillId="0" borderId="18" xfId="0" applyFont="1" applyBorder="1" applyAlignment="1">
      <alignment horizontal="left" vertical="center" wrapText="1"/>
    </xf>
    <xf numFmtId="3" fontId="42" fillId="0" borderId="19" xfId="0" applyNumberFormat="1" applyFont="1" applyBorder="1"/>
    <xf numFmtId="3" fontId="42" fillId="0" borderId="19" xfId="0" applyNumberFormat="1" applyFont="1" applyBorder="1" applyAlignment="1">
      <alignment vertical="center"/>
    </xf>
    <xf numFmtId="3" fontId="42" fillId="0" borderId="20" xfId="0" applyNumberFormat="1" applyFont="1" applyBorder="1" applyAlignment="1">
      <alignment vertical="center"/>
    </xf>
    <xf numFmtId="0" fontId="20" fillId="0" borderId="48" xfId="0" applyFont="1" applyBorder="1" applyAlignment="1">
      <alignment vertical="center" wrapText="1"/>
    </xf>
    <xf numFmtId="3" fontId="24" fillId="0" borderId="48" xfId="0" applyNumberFormat="1" applyFont="1" applyFill="1" applyBorder="1" applyAlignment="1">
      <alignment vertical="center"/>
    </xf>
    <xf numFmtId="3" fontId="21" fillId="0" borderId="48" xfId="0" applyNumberFormat="1" applyFont="1" applyBorder="1" applyAlignment="1">
      <alignment vertical="center"/>
    </xf>
    <xf numFmtId="3" fontId="21" fillId="0" borderId="49" xfId="0" applyNumberFormat="1" applyFont="1" applyBorder="1" applyAlignment="1">
      <alignment vertical="center"/>
    </xf>
    <xf numFmtId="0" fontId="20" fillId="0" borderId="18" xfId="0" applyFont="1" applyBorder="1" applyAlignment="1">
      <alignment horizontal="center" vertical="center"/>
    </xf>
    <xf numFmtId="0" fontId="20" fillId="0" borderId="19" xfId="0" applyFont="1" applyBorder="1" applyAlignment="1">
      <alignment vertical="center"/>
    </xf>
    <xf numFmtId="0" fontId="25" fillId="0" borderId="54" xfId="0" applyFont="1" applyBorder="1" applyAlignment="1">
      <alignment vertical="center" wrapText="1"/>
    </xf>
    <xf numFmtId="3" fontId="26" fillId="0" borderId="49" xfId="0" applyNumberFormat="1" applyFont="1" applyFill="1" applyBorder="1" applyAlignment="1">
      <alignment vertical="center"/>
    </xf>
    <xf numFmtId="0" fontId="20" fillId="0" borderId="19" xfId="0" applyFont="1" applyBorder="1" applyAlignment="1">
      <alignment vertical="center" wrapText="1"/>
    </xf>
    <xf numFmtId="0" fontId="25" fillId="0" borderId="55" xfId="0" applyFont="1" applyBorder="1" applyAlignment="1">
      <alignment vertical="center" wrapText="1"/>
    </xf>
    <xf numFmtId="0" fontId="25" fillId="3" borderId="48" xfId="0" applyFont="1" applyFill="1" applyBorder="1" applyAlignment="1">
      <alignment vertical="center" wrapText="1"/>
    </xf>
    <xf numFmtId="3" fontId="26" fillId="3" borderId="48" xfId="0" applyNumberFormat="1" applyFont="1" applyFill="1" applyBorder="1" applyAlignment="1">
      <alignment vertical="center"/>
    </xf>
    <xf numFmtId="3" fontId="3" fillId="3" borderId="48" xfId="0" applyNumberFormat="1" applyFont="1" applyFill="1" applyBorder="1" applyAlignment="1">
      <alignment vertical="center"/>
    </xf>
    <xf numFmtId="0" fontId="48" fillId="0" borderId="33" xfId="0" applyFont="1" applyBorder="1" applyAlignment="1">
      <alignment horizontal="left" vertical="center" wrapText="1"/>
    </xf>
    <xf numFmtId="0" fontId="47" fillId="0" borderId="0" xfId="0" applyFont="1" applyAlignment="1">
      <alignment horizontal="right"/>
    </xf>
    <xf numFmtId="0" fontId="38" fillId="2" borderId="29" xfId="0" applyFont="1" applyFill="1" applyBorder="1" applyAlignment="1">
      <alignment horizontal="center" vertical="center"/>
    </xf>
    <xf numFmtId="0" fontId="48" fillId="2" borderId="29" xfId="0" applyFont="1" applyFill="1" applyBorder="1" applyAlignment="1">
      <alignment horizontal="center" vertical="center"/>
    </xf>
    <xf numFmtId="0" fontId="48" fillId="0" borderId="1" xfId="0" applyFont="1" applyBorder="1" applyAlignment="1">
      <alignment horizontal="center" vertical="center"/>
    </xf>
    <xf numFmtId="0" fontId="48" fillId="0" borderId="39" xfId="0" applyFont="1" applyBorder="1" applyAlignment="1">
      <alignment vertical="center"/>
    </xf>
    <xf numFmtId="3" fontId="48" fillId="0" borderId="1" xfId="0" applyNumberFormat="1" applyFont="1" applyBorder="1" applyAlignment="1">
      <alignment horizontal="right" vertical="center"/>
    </xf>
    <xf numFmtId="3" fontId="59" fillId="0" borderId="1" xfId="0" applyNumberFormat="1" applyFont="1" applyBorder="1" applyAlignment="1">
      <alignment horizontal="right" vertical="center"/>
    </xf>
    <xf numFmtId="0" fontId="42" fillId="0" borderId="1" xfId="0" applyFont="1" applyBorder="1" applyAlignment="1">
      <alignment horizontal="left" vertical="center" wrapText="1"/>
    </xf>
    <xf numFmtId="1" fontId="48" fillId="0" borderId="1" xfId="0" applyNumberFormat="1" applyFont="1" applyBorder="1" applyAlignment="1">
      <alignment horizontal="center" vertical="center"/>
    </xf>
    <xf numFmtId="3" fontId="57" fillId="0" borderId="1" xfId="0" applyNumberFormat="1" applyFont="1" applyBorder="1" applyAlignment="1">
      <alignment horizontal="right" vertical="center"/>
    </xf>
    <xf numFmtId="0" fontId="48" fillId="0" borderId="0" xfId="0" applyFont="1" applyBorder="1"/>
    <xf numFmtId="3" fontId="48" fillId="0" borderId="1" xfId="0" applyNumberFormat="1" applyFont="1" applyBorder="1" applyAlignment="1">
      <alignment horizontal="right" vertical="center" wrapText="1"/>
    </xf>
    <xf numFmtId="4" fontId="48" fillId="0" borderId="1" xfId="0" applyNumberFormat="1" applyFont="1" applyBorder="1" applyAlignment="1">
      <alignment horizontal="right" vertical="center" wrapText="1"/>
    </xf>
    <xf numFmtId="4" fontId="32" fillId="0" borderId="1" xfId="0" applyNumberFormat="1" applyFont="1" applyBorder="1" applyAlignment="1">
      <alignment horizontal="right" vertical="center"/>
    </xf>
    <xf numFmtId="0" fontId="42" fillId="0" borderId="1" xfId="0" applyFont="1" applyFill="1" applyBorder="1" applyAlignment="1">
      <alignment horizontal="left" vertical="center" wrapText="1"/>
    </xf>
    <xf numFmtId="0" fontId="48" fillId="0" borderId="35" xfId="0" applyFont="1" applyBorder="1" applyAlignment="1">
      <alignment horizontal="center" vertical="center"/>
    </xf>
    <xf numFmtId="0" fontId="42" fillId="0" borderId="35" xfId="0" applyFont="1" applyBorder="1" applyAlignment="1">
      <alignment horizontal="left" vertical="center"/>
    </xf>
    <xf numFmtId="164" fontId="48" fillId="0" borderId="35" xfId="0" applyNumberFormat="1" applyFont="1" applyBorder="1" applyAlignment="1">
      <alignment vertical="center"/>
    </xf>
    <xf numFmtId="3" fontId="52" fillId="0" borderId="35" xfId="0" applyNumberFormat="1" applyFont="1" applyBorder="1" applyAlignment="1">
      <alignment horizontal="right" vertical="center"/>
    </xf>
    <xf numFmtId="0" fontId="48" fillId="0" borderId="0" xfId="0" applyFont="1" applyAlignment="1">
      <alignment vertical="center"/>
    </xf>
    <xf numFmtId="0" fontId="60" fillId="0" borderId="0" xfId="0" applyFont="1" applyFill="1" applyBorder="1" applyAlignment="1">
      <alignment horizontal="right" vertical="center" wrapText="1"/>
    </xf>
    <xf numFmtId="3" fontId="48" fillId="0" borderId="0" xfId="0" applyNumberFormat="1" applyFont="1" applyAlignment="1">
      <alignment vertical="center"/>
    </xf>
    <xf numFmtId="4" fontId="48" fillId="0" borderId="1" xfId="0" applyNumberFormat="1" applyFont="1" applyBorder="1" applyAlignment="1">
      <alignment horizontal="right" vertical="center"/>
    </xf>
    <xf numFmtId="0" fontId="42" fillId="0" borderId="10" xfId="0" applyFont="1" applyBorder="1" applyAlignment="1">
      <alignment horizontal="center" vertical="center"/>
    </xf>
    <xf numFmtId="0" fontId="42" fillId="0" borderId="10" xfId="0" applyFont="1" applyBorder="1" applyAlignment="1">
      <alignment horizontal="left" vertical="center" wrapText="1"/>
    </xf>
    <xf numFmtId="1" fontId="48" fillId="0" borderId="10" xfId="0" applyNumberFormat="1" applyFont="1" applyBorder="1" applyAlignment="1">
      <alignment horizontal="center" vertical="center"/>
    </xf>
    <xf numFmtId="4" fontId="57" fillId="3" borderId="1" xfId="0" applyNumberFormat="1" applyFont="1" applyFill="1" applyBorder="1" applyAlignment="1">
      <alignment horizontal="right" vertical="center"/>
    </xf>
    <xf numFmtId="0" fontId="42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horizontal="left" vertical="center" wrapText="1"/>
    </xf>
    <xf numFmtId="1" fontId="48" fillId="0" borderId="0" xfId="0" applyNumberFormat="1" applyFont="1" applyBorder="1" applyAlignment="1">
      <alignment horizontal="center" vertical="center"/>
    </xf>
    <xf numFmtId="3" fontId="57" fillId="0" borderId="0" xfId="0" applyNumberFormat="1" applyFont="1" applyBorder="1" applyAlignment="1">
      <alignment horizontal="right" vertical="center"/>
    </xf>
    <xf numFmtId="4" fontId="57" fillId="0" borderId="1" xfId="0" applyNumberFormat="1" applyFont="1" applyBorder="1" applyAlignment="1">
      <alignment horizontal="right" vertical="center"/>
    </xf>
    <xf numFmtId="0" fontId="42" fillId="0" borderId="1" xfId="0" applyFont="1" applyBorder="1" applyAlignment="1">
      <alignment vertical="center" wrapText="1"/>
    </xf>
    <xf numFmtId="0" fontId="57" fillId="0" borderId="1" xfId="0" applyFont="1" applyBorder="1" applyAlignment="1">
      <alignment vertical="center"/>
    </xf>
    <xf numFmtId="3" fontId="57" fillId="0" borderId="1" xfId="0" applyNumberFormat="1" applyFont="1" applyBorder="1" applyAlignment="1">
      <alignment vertical="center"/>
    </xf>
    <xf numFmtId="4" fontId="57" fillId="0" borderId="1" xfId="0" applyNumberFormat="1" applyFont="1" applyBorder="1" applyAlignment="1">
      <alignment vertical="center"/>
    </xf>
    <xf numFmtId="0" fontId="42" fillId="0" borderId="0" xfId="0" applyFont="1" applyBorder="1" applyAlignment="1">
      <alignment wrapText="1"/>
    </xf>
    <xf numFmtId="0" fontId="48" fillId="0" borderId="0" xfId="0" applyFont="1" applyBorder="1" applyAlignment="1">
      <alignment horizontal="center" vertical="center"/>
    </xf>
    <xf numFmtId="0" fontId="57" fillId="0" borderId="0" xfId="0" applyFont="1" applyBorder="1"/>
    <xf numFmtId="3" fontId="57" fillId="0" borderId="0" xfId="0" applyNumberFormat="1" applyFont="1" applyBorder="1"/>
    <xf numFmtId="0" fontId="58" fillId="0" borderId="0" xfId="0" applyFont="1" applyAlignment="1">
      <alignment horizontal="center"/>
    </xf>
    <xf numFmtId="0" fontId="48" fillId="0" borderId="0" xfId="0" applyFont="1" applyAlignment="1">
      <alignment horizontal="center" vertical="center"/>
    </xf>
    <xf numFmtId="3" fontId="57" fillId="0" borderId="0" xfId="0" applyNumberFormat="1" applyFont="1" applyBorder="1" applyAlignment="1">
      <alignment vertical="center"/>
    </xf>
    <xf numFmtId="0" fontId="48" fillId="0" borderId="40" xfId="0" applyFont="1" applyFill="1" applyBorder="1" applyAlignment="1">
      <alignment horizontal="center" vertical="center" wrapText="1"/>
    </xf>
    <xf numFmtId="0" fontId="48" fillId="0" borderId="0" xfId="0" applyFont="1" applyFill="1" applyBorder="1" applyAlignment="1">
      <alignment horizontal="center" vertical="center" wrapText="1"/>
    </xf>
    <xf numFmtId="4" fontId="42" fillId="0" borderId="0" xfId="0" applyNumberFormat="1" applyFont="1" applyAlignment="1">
      <alignment vertical="center"/>
    </xf>
    <xf numFmtId="0" fontId="60" fillId="0" borderId="40" xfId="0" applyFont="1" applyFill="1" applyBorder="1" applyAlignment="1">
      <alignment horizontal="center" vertical="center" wrapText="1"/>
    </xf>
    <xf numFmtId="4" fontId="42" fillId="0" borderId="0" xfId="0" applyNumberFormat="1" applyFont="1"/>
    <xf numFmtId="0" fontId="38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3" fontId="14" fillId="0" borderId="0" xfId="0" applyNumberFormat="1" applyFont="1" applyAlignment="1">
      <alignment vertical="center"/>
    </xf>
    <xf numFmtId="3" fontId="14" fillId="0" borderId="0" xfId="0" applyNumberFormat="1" applyFont="1" applyAlignment="1">
      <alignment horizontal="right" vertical="center"/>
    </xf>
    <xf numFmtId="3" fontId="61" fillId="0" borderId="0" xfId="0" applyNumberFormat="1" applyFont="1" applyAlignment="1">
      <alignment horizontal="right" vertical="center"/>
    </xf>
    <xf numFmtId="4" fontId="37" fillId="0" borderId="0" xfId="0" applyNumberFormat="1" applyFont="1" applyAlignment="1">
      <alignment vertical="center"/>
    </xf>
    <xf numFmtId="4" fontId="37" fillId="0" borderId="0" xfId="0" applyNumberFormat="1" applyFont="1" applyAlignment="1">
      <alignment horizontal="right" vertical="center"/>
    </xf>
    <xf numFmtId="4" fontId="10" fillId="0" borderId="0" xfId="0" applyNumberFormat="1" applyFont="1" applyAlignment="1">
      <alignment vertical="center"/>
    </xf>
    <xf numFmtId="4" fontId="14" fillId="0" borderId="0" xfId="0" applyNumberFormat="1" applyFont="1" applyAlignment="1">
      <alignment vertical="center"/>
    </xf>
    <xf numFmtId="4" fontId="61" fillId="0" borderId="0" xfId="0" applyNumberFormat="1" applyFont="1" applyAlignment="1">
      <alignment vertical="center"/>
    </xf>
    <xf numFmtId="3" fontId="61" fillId="0" borderId="0" xfId="0" applyNumberFormat="1" applyFont="1" applyAlignment="1">
      <alignment vertical="center"/>
    </xf>
    <xf numFmtId="4" fontId="62" fillId="0" borderId="0" xfId="0" applyNumberFormat="1" applyFont="1" applyAlignment="1">
      <alignment vertical="center"/>
    </xf>
    <xf numFmtId="3" fontId="46" fillId="0" borderId="0" xfId="0" applyNumberFormat="1" applyFont="1" applyAlignment="1">
      <alignment vertical="center"/>
    </xf>
    <xf numFmtId="0" fontId="62" fillId="0" borderId="0" xfId="0" applyFont="1" applyAlignment="1">
      <alignment vertical="center"/>
    </xf>
    <xf numFmtId="0" fontId="6" fillId="0" borderId="48" xfId="0" applyFont="1" applyBorder="1" applyAlignment="1">
      <alignment horizontal="right" vertical="center"/>
    </xf>
    <xf numFmtId="4" fontId="6" fillId="0" borderId="48" xfId="0" applyNumberFormat="1" applyFont="1" applyBorder="1" applyAlignment="1">
      <alignment vertical="center"/>
    </xf>
    <xf numFmtId="4" fontId="5" fillId="0" borderId="49" xfId="0" applyNumberFormat="1" applyFont="1" applyBorder="1" applyAlignment="1">
      <alignment vertical="center"/>
    </xf>
    <xf numFmtId="4" fontId="4" fillId="0" borderId="52" xfId="0" applyNumberFormat="1" applyFont="1" applyBorder="1" applyAlignment="1">
      <alignment vertical="center"/>
    </xf>
    <xf numFmtId="10" fontId="4" fillId="0" borderId="50" xfId="0" applyNumberFormat="1" applyFont="1" applyBorder="1" applyAlignment="1">
      <alignment horizontal="right" vertical="center"/>
    </xf>
    <xf numFmtId="4" fontId="4" fillId="0" borderId="50" xfId="0" applyNumberFormat="1" applyFont="1" applyBorder="1" applyAlignment="1">
      <alignment vertical="center"/>
    </xf>
    <xf numFmtId="4" fontId="4" fillId="0" borderId="51" xfId="0" applyNumberFormat="1" applyFont="1" applyBorder="1" applyAlignment="1">
      <alignment vertical="center"/>
    </xf>
    <xf numFmtId="0" fontId="48" fillId="0" borderId="32" xfId="0" applyFont="1" applyBorder="1" applyAlignment="1">
      <alignment horizontal="left" vertical="center" wrapText="1"/>
    </xf>
    <xf numFmtId="0" fontId="48" fillId="0" borderId="33" xfId="0" applyFont="1" applyBorder="1" applyAlignment="1">
      <alignment horizontal="left" vertical="center" wrapText="1"/>
    </xf>
    <xf numFmtId="0" fontId="47" fillId="0" borderId="0" xfId="0" applyFont="1" applyAlignment="1">
      <alignment horizontal="right"/>
    </xf>
    <xf numFmtId="0" fontId="54" fillId="0" borderId="0" xfId="0" applyFont="1" applyAlignment="1">
      <alignment horizontal="center" vertical="center"/>
    </xf>
    <xf numFmtId="0" fontId="38" fillId="2" borderId="17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48" fillId="0" borderId="37" xfId="0" applyFont="1" applyBorder="1" applyAlignment="1">
      <alignment horizontal="left" vertical="center" wrapText="1"/>
    </xf>
    <xf numFmtId="0" fontId="48" fillId="0" borderId="38" xfId="0" applyFont="1" applyBorder="1" applyAlignment="1">
      <alignment horizontal="left" vertical="center" wrapText="1"/>
    </xf>
    <xf numFmtId="0" fontId="42" fillId="0" borderId="56" xfId="0" applyFont="1" applyBorder="1" applyAlignment="1">
      <alignment horizontal="center" vertical="center"/>
    </xf>
    <xf numFmtId="0" fontId="42" fillId="0" borderId="26" xfId="0" applyFont="1" applyBorder="1" applyAlignment="1">
      <alignment horizontal="center" vertical="center"/>
    </xf>
    <xf numFmtId="0" fontId="42" fillId="0" borderId="31" xfId="0" applyFont="1" applyBorder="1" applyAlignment="1">
      <alignment horizontal="center" vertical="center"/>
    </xf>
    <xf numFmtId="0" fontId="48" fillId="0" borderId="43" xfId="0" applyFont="1" applyBorder="1" applyAlignment="1">
      <alignment horizontal="left" vertical="center" wrapText="1"/>
    </xf>
    <xf numFmtId="0" fontId="48" fillId="0" borderId="44" xfId="0" applyFont="1" applyBorder="1" applyAlignment="1">
      <alignment horizontal="left" vertical="center" wrapText="1"/>
    </xf>
    <xf numFmtId="0" fontId="42" fillId="0" borderId="25" xfId="0" applyFont="1" applyBorder="1" applyAlignment="1">
      <alignment horizontal="center" vertical="center"/>
    </xf>
    <xf numFmtId="0" fontId="48" fillId="2" borderId="17" xfId="0" applyFont="1" applyFill="1" applyBorder="1" applyAlignment="1">
      <alignment horizontal="center" vertical="center"/>
    </xf>
    <xf numFmtId="0" fontId="48" fillId="2" borderId="29" xfId="0" applyFont="1" applyFill="1" applyBorder="1" applyAlignment="1">
      <alignment horizontal="center" vertical="center"/>
    </xf>
    <xf numFmtId="0" fontId="42" fillId="0" borderId="53" xfId="0" applyFont="1" applyBorder="1" applyAlignment="1">
      <alignment horizontal="center"/>
    </xf>
    <xf numFmtId="0" fontId="42" fillId="0" borderId="52" xfId="0" applyFont="1" applyBorder="1" applyAlignment="1">
      <alignment horizontal="center"/>
    </xf>
    <xf numFmtId="0" fontId="52" fillId="0" borderId="18" xfId="0" applyFont="1" applyBorder="1" applyAlignment="1">
      <alignment horizontal="left" vertical="center"/>
    </xf>
    <xf numFmtId="0" fontId="52" fillId="0" borderId="19" xfId="0" applyFont="1" applyBorder="1" applyAlignment="1">
      <alignment horizontal="left" vertical="center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36" xfId="0" applyFont="1" applyBorder="1" applyAlignment="1">
      <alignment horizontal="right" vertical="center" wrapText="1"/>
    </xf>
    <xf numFmtId="0" fontId="19" fillId="0" borderId="57" xfId="0" applyFont="1" applyBorder="1" applyAlignment="1">
      <alignment horizontal="right" vertical="center" wrapText="1"/>
    </xf>
    <xf numFmtId="0" fontId="42" fillId="0" borderId="58" xfId="0" applyFont="1" applyBorder="1" applyAlignment="1">
      <alignment horizontal="center"/>
    </xf>
    <xf numFmtId="0" fontId="42" fillId="0" borderId="8" xfId="0" applyFont="1" applyBorder="1" applyAlignment="1">
      <alignment horizontal="center"/>
    </xf>
    <xf numFmtId="0" fontId="28" fillId="0" borderId="0" xfId="0" applyFont="1" applyAlignment="1">
      <alignment horizontal="center" vertical="center" wrapText="1"/>
    </xf>
    <xf numFmtId="0" fontId="55" fillId="0" borderId="0" xfId="0" applyFont="1" applyAlignment="1">
      <alignment horizontal="left"/>
    </xf>
    <xf numFmtId="0" fontId="38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14" fontId="55" fillId="0" borderId="0" xfId="0" applyNumberFormat="1" applyFont="1" applyAlignment="1">
      <alignment horizontal="left"/>
    </xf>
    <xf numFmtId="0" fontId="56" fillId="0" borderId="59" xfId="0" applyFont="1" applyBorder="1" applyAlignment="1">
      <alignment horizontal="center" vertical="center"/>
    </xf>
    <xf numFmtId="0" fontId="38" fillId="2" borderId="36" xfId="0" applyFont="1" applyFill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48" fillId="0" borderId="1" xfId="0" applyFont="1" applyBorder="1" applyAlignment="1">
      <alignment horizontal="left" vertical="center"/>
    </xf>
    <xf numFmtId="0" fontId="58" fillId="0" borderId="0" xfId="0" applyFont="1" applyAlignment="1">
      <alignment horizontal="center"/>
    </xf>
    <xf numFmtId="0" fontId="48" fillId="0" borderId="60" xfId="0" applyFont="1" applyBorder="1" applyAlignment="1">
      <alignment horizontal="left" vertical="center"/>
    </xf>
    <xf numFmtId="0" fontId="48" fillId="0" borderId="39" xfId="0" applyFont="1" applyBorder="1" applyAlignment="1">
      <alignment horizontal="left" vertical="center"/>
    </xf>
    <xf numFmtId="0" fontId="58" fillId="0" borderId="21" xfId="0" applyFont="1" applyBorder="1" applyAlignment="1">
      <alignment horizontal="center" vertical="center"/>
    </xf>
    <xf numFmtId="0" fontId="57" fillId="0" borderId="0" xfId="0" applyFont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0"/>
  <sheetViews>
    <sheetView tabSelected="1" topLeftCell="A26" zoomScale="80" zoomScaleNormal="80" workbookViewId="0">
      <selection activeCell="E47" sqref="E47:M60"/>
    </sheetView>
  </sheetViews>
  <sheetFormatPr defaultRowHeight="14.25"/>
  <cols>
    <col min="1" max="1" width="3.5" customWidth="1"/>
    <col min="2" max="2" width="2.75" customWidth="1"/>
    <col min="3" max="3" width="67.5" customWidth="1"/>
    <col min="4" max="4" width="13.625" hidden="1" customWidth="1"/>
    <col min="5" max="5" width="14.125" customWidth="1"/>
    <col min="6" max="12" width="12.875" customWidth="1"/>
    <col min="13" max="13" width="13.375" customWidth="1"/>
  </cols>
  <sheetData>
    <row r="1" spans="1:13" ht="18.75">
      <c r="A1" s="393" t="s">
        <v>174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</row>
    <row r="2" spans="1:13" ht="23.25" customHeight="1">
      <c r="A2" s="394" t="s">
        <v>175</v>
      </c>
      <c r="B2" s="394"/>
      <c r="C2" s="394"/>
      <c r="D2" s="394"/>
      <c r="E2" s="394"/>
      <c r="F2" s="394"/>
      <c r="G2" s="394"/>
      <c r="H2" s="394"/>
      <c r="I2" s="394"/>
      <c r="J2" s="394"/>
      <c r="K2" s="394"/>
      <c r="L2" s="394"/>
      <c r="M2" s="394"/>
    </row>
    <row r="3" spans="1:13" ht="19.5" thickBot="1">
      <c r="A3" s="118"/>
      <c r="B3" s="118"/>
      <c r="C3" s="118"/>
      <c r="D3" s="118"/>
      <c r="M3" s="231" t="s">
        <v>10</v>
      </c>
    </row>
    <row r="4" spans="1:13" ht="33" customHeight="1" thickBot="1">
      <c r="A4" s="72" t="s">
        <v>136</v>
      </c>
      <c r="B4" s="395" t="s">
        <v>88</v>
      </c>
      <c r="C4" s="396"/>
      <c r="D4" s="232">
        <v>2011</v>
      </c>
      <c r="E4" s="72">
        <v>2012</v>
      </c>
      <c r="F4" s="72">
        <v>2013</v>
      </c>
      <c r="G4" s="72">
        <v>2014</v>
      </c>
      <c r="H4" s="72">
        <v>2015</v>
      </c>
      <c r="I4" s="72">
        <v>2016</v>
      </c>
      <c r="J4" s="72">
        <v>2017</v>
      </c>
      <c r="K4" s="72">
        <v>2018</v>
      </c>
      <c r="L4" s="72">
        <v>2019</v>
      </c>
      <c r="M4" s="233">
        <v>2020</v>
      </c>
    </row>
    <row r="5" spans="1:13" ht="22.5" customHeight="1">
      <c r="A5" s="122">
        <v>1</v>
      </c>
      <c r="B5" s="397" t="s">
        <v>176</v>
      </c>
      <c r="C5" s="398"/>
      <c r="D5" s="123">
        <f>D6+D7</f>
        <v>1375150127</v>
      </c>
      <c r="E5" s="123">
        <f>E6+E7</f>
        <v>1439324469</v>
      </c>
      <c r="F5" s="123">
        <f t="shared" ref="F5:M5" si="0">F6+F7</f>
        <v>1809635244</v>
      </c>
      <c r="G5" s="123">
        <f t="shared" si="0"/>
        <v>1499498423</v>
      </c>
      <c r="H5" s="123">
        <f t="shared" si="0"/>
        <v>937852790</v>
      </c>
      <c r="I5" s="123">
        <f t="shared" si="0"/>
        <v>870995699</v>
      </c>
      <c r="J5" s="123">
        <f t="shared" si="0"/>
        <v>878320707</v>
      </c>
      <c r="K5" s="123">
        <f t="shared" si="0"/>
        <v>883993380</v>
      </c>
      <c r="L5" s="123">
        <f t="shared" si="0"/>
        <v>889387133</v>
      </c>
      <c r="M5" s="123">
        <f t="shared" si="0"/>
        <v>895191654</v>
      </c>
    </row>
    <row r="6" spans="1:13" ht="18.75" customHeight="1">
      <c r="A6" s="399"/>
      <c r="B6" s="124" t="s">
        <v>177</v>
      </c>
      <c r="C6" s="125" t="s">
        <v>178</v>
      </c>
      <c r="D6" s="126">
        <f>'DANE ZBIORCZE'!C52</f>
        <v>1061349650</v>
      </c>
      <c r="E6" s="126">
        <f>'DANE ZBIORCZE'!D52</f>
        <v>1109982998</v>
      </c>
      <c r="F6" s="126">
        <f>'DANE ZBIORCZE'!E52</f>
        <v>1037150920</v>
      </c>
      <c r="G6" s="126">
        <f>'DANE ZBIORCZE'!F52</f>
        <v>927813480</v>
      </c>
      <c r="H6" s="126">
        <f>'DANE ZBIORCZE'!G52</f>
        <v>883690348</v>
      </c>
      <c r="I6" s="126">
        <f>'DANE ZBIORCZE'!H52</f>
        <v>849053099</v>
      </c>
      <c r="J6" s="126">
        <f>'DANE ZBIORCZE'!I52</f>
        <v>854278107</v>
      </c>
      <c r="K6" s="126">
        <f>'DANE ZBIORCZE'!J52</f>
        <v>859950780</v>
      </c>
      <c r="L6" s="126">
        <f>'DANE ZBIORCZE'!K52</f>
        <v>865494533</v>
      </c>
      <c r="M6" s="126">
        <f>'DANE ZBIORCZE'!L52</f>
        <v>871299054</v>
      </c>
    </row>
    <row r="7" spans="1:13" ht="18.75" customHeight="1">
      <c r="A7" s="400"/>
      <c r="B7" s="124" t="s">
        <v>179</v>
      </c>
      <c r="C7" s="125" t="s">
        <v>180</v>
      </c>
      <c r="D7" s="126">
        <f>'DANE ZBIORCZE'!C53</f>
        <v>313800477</v>
      </c>
      <c r="E7" s="126">
        <f>'DANE ZBIORCZE'!D53</f>
        <v>329341471</v>
      </c>
      <c r="F7" s="126">
        <f>'DANE ZBIORCZE'!E53</f>
        <v>772484324</v>
      </c>
      <c r="G7" s="126">
        <f>'DANE ZBIORCZE'!F53</f>
        <v>571684943</v>
      </c>
      <c r="H7" s="126">
        <f>'DANE ZBIORCZE'!G53</f>
        <v>54162442</v>
      </c>
      <c r="I7" s="126">
        <f>'DANE ZBIORCZE'!H53</f>
        <v>21942600</v>
      </c>
      <c r="J7" s="126">
        <f>'DANE ZBIORCZE'!I53</f>
        <v>24042600</v>
      </c>
      <c r="K7" s="126">
        <f>'DANE ZBIORCZE'!J53</f>
        <v>24042600</v>
      </c>
      <c r="L7" s="126">
        <f>'DANE ZBIORCZE'!K53</f>
        <v>23892600</v>
      </c>
      <c r="M7" s="126">
        <f>'DANE ZBIORCZE'!L53</f>
        <v>23892600</v>
      </c>
    </row>
    <row r="8" spans="1:13" ht="18.75" customHeight="1">
      <c r="A8" s="401"/>
      <c r="B8" s="127"/>
      <c r="C8" s="235" t="s">
        <v>280</v>
      </c>
      <c r="D8" s="126">
        <f>'DANE ZBIORCZE'!C24</f>
        <v>5097400</v>
      </c>
      <c r="E8" s="262">
        <f>'DANE ZBIORCZE'!D24</f>
        <v>5118720</v>
      </c>
      <c r="F8" s="126">
        <f>'DANE ZBIORCZE'!E24</f>
        <v>3746600</v>
      </c>
      <c r="G8" s="126">
        <f>'DANE ZBIORCZE'!F24</f>
        <v>5621600</v>
      </c>
      <c r="H8" s="126">
        <f>'DANE ZBIORCZE'!G24</f>
        <v>2221600</v>
      </c>
      <c r="I8" s="126">
        <f>'DANE ZBIORCZE'!H24</f>
        <v>3446600</v>
      </c>
      <c r="J8" s="126">
        <f>'DANE ZBIORCZE'!I24</f>
        <v>5546600</v>
      </c>
      <c r="K8" s="126">
        <f>'DANE ZBIORCZE'!J24</f>
        <v>5546600</v>
      </c>
      <c r="L8" s="126">
        <f>'DANE ZBIORCZE'!K24</f>
        <v>5396600</v>
      </c>
      <c r="M8" s="126">
        <f>'DANE ZBIORCZE'!L24</f>
        <v>5396600</v>
      </c>
    </row>
    <row r="9" spans="1:13" ht="22.5" customHeight="1">
      <c r="A9" s="122">
        <v>2</v>
      </c>
      <c r="B9" s="391" t="s">
        <v>183</v>
      </c>
      <c r="C9" s="392"/>
      <c r="D9" s="128">
        <f>D10+D16</f>
        <v>1641483284</v>
      </c>
      <c r="E9" s="128">
        <f>E10+E16</f>
        <v>1687416014</v>
      </c>
      <c r="F9" s="128">
        <f t="shared" ref="F9:M9" si="1">F10+F16</f>
        <v>1942278345</v>
      </c>
      <c r="G9" s="128">
        <f t="shared" si="1"/>
        <v>1436438947</v>
      </c>
      <c r="H9" s="128">
        <f t="shared" si="1"/>
        <v>844486246</v>
      </c>
      <c r="I9" s="128">
        <f t="shared" si="1"/>
        <v>777629155</v>
      </c>
      <c r="J9" s="128">
        <f t="shared" si="1"/>
        <v>784954163</v>
      </c>
      <c r="K9" s="128">
        <f t="shared" si="1"/>
        <v>790626836</v>
      </c>
      <c r="L9" s="128">
        <f t="shared" si="1"/>
        <v>796020589</v>
      </c>
      <c r="M9" s="128">
        <f t="shared" si="1"/>
        <v>801825086</v>
      </c>
    </row>
    <row r="10" spans="1:13" ht="18.75" customHeight="1">
      <c r="A10" s="399"/>
      <c r="B10" s="143" t="s">
        <v>177</v>
      </c>
      <c r="C10" s="125" t="s">
        <v>184</v>
      </c>
      <c r="D10" s="129">
        <f>'DANE ZBIORCZE'!C55</f>
        <v>935540107</v>
      </c>
      <c r="E10" s="129">
        <f>'DANE ZBIORCZE'!D55</f>
        <v>1021552175</v>
      </c>
      <c r="F10" s="129">
        <f>'DANE ZBIORCZE'!E55</f>
        <v>651122632</v>
      </c>
      <c r="G10" s="129">
        <f>'DANE ZBIORCZE'!F55</f>
        <v>599362778</v>
      </c>
      <c r="H10" s="129">
        <f>'DANE ZBIORCZE'!G55</f>
        <v>541664556</v>
      </c>
      <c r="I10" s="129">
        <f>'DANE ZBIORCZE'!H55</f>
        <v>544415512</v>
      </c>
      <c r="J10" s="129">
        <f>'DANE ZBIORCZE'!I55</f>
        <v>551140323</v>
      </c>
      <c r="K10" s="129">
        <f>'DANE ZBIORCZE'!J55</f>
        <v>558317150</v>
      </c>
      <c r="L10" s="129">
        <f>'DANE ZBIORCZE'!K55</f>
        <v>565696346</v>
      </c>
      <c r="M10" s="129">
        <f>'DANE ZBIORCZE'!L55</f>
        <v>573388868</v>
      </c>
    </row>
    <row r="11" spans="1:13" ht="18.75" customHeight="1">
      <c r="A11" s="400"/>
      <c r="B11" s="124"/>
      <c r="C11" s="235" t="s">
        <v>273</v>
      </c>
      <c r="D11" s="126">
        <v>232844925</v>
      </c>
      <c r="E11" s="247">
        <v>251594395</v>
      </c>
      <c r="F11" s="247">
        <v>251594395</v>
      </c>
      <c r="G11" s="247">
        <v>251594395</v>
      </c>
      <c r="H11" s="247">
        <v>251594395</v>
      </c>
      <c r="I11" s="247">
        <v>251594395</v>
      </c>
      <c r="J11" s="247">
        <v>251594395</v>
      </c>
      <c r="K11" s="247">
        <v>251594395</v>
      </c>
      <c r="L11" s="247">
        <v>251594395</v>
      </c>
      <c r="M11" s="247">
        <v>251594395</v>
      </c>
    </row>
    <row r="12" spans="1:13" ht="18.75" customHeight="1">
      <c r="A12" s="400"/>
      <c r="B12" s="124"/>
      <c r="C12" s="235" t="s">
        <v>274</v>
      </c>
      <c r="D12" s="130">
        <v>105626584</v>
      </c>
      <c r="E12" s="247">
        <v>109936318</v>
      </c>
      <c r="F12" s="247">
        <v>109936318</v>
      </c>
      <c r="G12" s="247">
        <v>109936318</v>
      </c>
      <c r="H12" s="247">
        <v>109936318</v>
      </c>
      <c r="I12" s="247">
        <v>109936318</v>
      </c>
      <c r="J12" s="247">
        <v>109936318</v>
      </c>
      <c r="K12" s="247">
        <v>109936318</v>
      </c>
      <c r="L12" s="247">
        <v>109936318</v>
      </c>
      <c r="M12" s="247">
        <v>109936318</v>
      </c>
    </row>
    <row r="13" spans="1:13" ht="18.75" customHeight="1">
      <c r="A13" s="400"/>
      <c r="B13" s="124"/>
      <c r="C13" s="235" t="s">
        <v>275</v>
      </c>
      <c r="D13" s="130">
        <v>8100000</v>
      </c>
      <c r="E13" s="255">
        <v>9200000</v>
      </c>
      <c r="F13" s="255">
        <v>8100000</v>
      </c>
      <c r="G13" s="255">
        <v>8100000</v>
      </c>
      <c r="H13" s="255">
        <v>8100000</v>
      </c>
      <c r="I13" s="255">
        <v>8100000</v>
      </c>
      <c r="J13" s="255">
        <v>8100000</v>
      </c>
      <c r="K13" s="255">
        <v>8100000</v>
      </c>
      <c r="L13" s="255">
        <v>8100000</v>
      </c>
      <c r="M13" s="255">
        <v>8100000</v>
      </c>
    </row>
    <row r="14" spans="1:13" ht="18" customHeight="1">
      <c r="A14" s="400"/>
      <c r="B14" s="124"/>
      <c r="C14" s="236" t="s">
        <v>276</v>
      </c>
      <c r="D14" s="247">
        <f>'Koszty kredytów'!D25+'Koszty kredytów'!D33+18709</f>
        <v>10118300.15</v>
      </c>
      <c r="E14" s="229">
        <f>'Koszty kredytów'!E25+'Koszty kredytów'!E33</f>
        <v>24032905.67302537</v>
      </c>
      <c r="F14" s="229">
        <f>'Koszty kredytów'!F25+'Koszty kredytów'!F33</f>
        <v>32032140.177779589</v>
      </c>
      <c r="G14" s="229">
        <f>'Koszty kredytów'!G25+'Koszty kredytów'!G33</f>
        <v>36359185.955255747</v>
      </c>
      <c r="H14" s="229">
        <f>'Koszty kredytów'!H25+'Koszty kredytów'!H33</f>
        <v>28195725.274280824</v>
      </c>
      <c r="I14" s="229">
        <f>'Koszty kredytów'!I25+'Koszty kredytów'!I33</f>
        <v>23504528.433682192</v>
      </c>
      <c r="J14" s="229">
        <f>'Koszty kredytów'!J25+'Koszty kredytów'!J33</f>
        <v>18301198.928861644</v>
      </c>
      <c r="K14" s="229">
        <f>'Koszty kredytów'!K25+'Koszty kredytów'!K33</f>
        <v>13144685.445497263</v>
      </c>
      <c r="L14" s="229">
        <f>'Koszty kredytów'!L25+'Koszty kredytów'!L33</f>
        <v>7839823.1198753426</v>
      </c>
      <c r="M14" s="229">
        <f>'Koszty kredytów'!M25+'Koszty kredytów'!M33</f>
        <v>2944531.1887616441</v>
      </c>
    </row>
    <row r="15" spans="1:13" ht="18" customHeight="1">
      <c r="A15" s="400"/>
      <c r="B15" s="124"/>
      <c r="C15" s="237" t="s">
        <v>297</v>
      </c>
      <c r="D15" s="133">
        <v>264386504</v>
      </c>
      <c r="E15" s="256">
        <v>326398389</v>
      </c>
      <c r="F15" s="247">
        <v>341886023</v>
      </c>
      <c r="G15" s="247">
        <v>294034322</v>
      </c>
      <c r="H15" s="247">
        <v>212034847</v>
      </c>
      <c r="I15" s="247">
        <v>17355761</v>
      </c>
      <c r="J15" s="247">
        <v>14743227</v>
      </c>
      <c r="K15" s="247">
        <v>11675289</v>
      </c>
      <c r="L15" s="247">
        <v>11585343</v>
      </c>
      <c r="M15" s="247">
        <v>11630460</v>
      </c>
    </row>
    <row r="16" spans="1:13" ht="18" customHeight="1">
      <c r="A16" s="400"/>
      <c r="B16" s="143" t="s">
        <v>179</v>
      </c>
      <c r="C16" s="125" t="s">
        <v>191</v>
      </c>
      <c r="D16" s="128">
        <f>'DANE ZBIORCZE'!C56</f>
        <v>705943177</v>
      </c>
      <c r="E16" s="257">
        <f>'DANE ZBIORCZE'!D56</f>
        <v>665863839</v>
      </c>
      <c r="F16" s="257">
        <f>'DANE ZBIORCZE'!E56</f>
        <v>1291155713</v>
      </c>
      <c r="G16" s="257">
        <f>'DANE ZBIORCZE'!F56</f>
        <v>837076169</v>
      </c>
      <c r="H16" s="257">
        <f>'DANE ZBIORCZE'!G56</f>
        <v>302821690</v>
      </c>
      <c r="I16" s="257">
        <f>'DANE ZBIORCZE'!H56</f>
        <v>233213643</v>
      </c>
      <c r="J16" s="257">
        <f>'DANE ZBIORCZE'!I56</f>
        <v>233813840</v>
      </c>
      <c r="K16" s="257">
        <f>'DANE ZBIORCZE'!J56</f>
        <v>232309686</v>
      </c>
      <c r="L16" s="257">
        <f>'DANE ZBIORCZE'!K56</f>
        <v>230324243</v>
      </c>
      <c r="M16" s="257">
        <f>'DANE ZBIORCZE'!L56</f>
        <v>228436218</v>
      </c>
    </row>
    <row r="17" spans="1:13" ht="18" customHeight="1">
      <c r="A17" s="401"/>
      <c r="B17" s="124"/>
      <c r="C17" s="238" t="s">
        <v>298</v>
      </c>
      <c r="D17" s="126">
        <f>459057825</f>
        <v>459057825</v>
      </c>
      <c r="E17" s="247">
        <v>460539591</v>
      </c>
      <c r="F17" s="247">
        <v>1220257714</v>
      </c>
      <c r="G17" s="247">
        <v>756698569</v>
      </c>
      <c r="H17" s="247">
        <v>179067821</v>
      </c>
      <c r="I17" s="247">
        <v>7764064</v>
      </c>
      <c r="J17" s="247">
        <v>0</v>
      </c>
      <c r="K17" s="247">
        <v>0</v>
      </c>
      <c r="L17" s="247">
        <v>0</v>
      </c>
      <c r="M17" s="247">
        <v>0</v>
      </c>
    </row>
    <row r="18" spans="1:13" ht="23.25" customHeight="1">
      <c r="A18" s="135">
        <v>3</v>
      </c>
      <c r="B18" s="391" t="s">
        <v>194</v>
      </c>
      <c r="C18" s="392"/>
      <c r="D18" s="128">
        <f>D5-D9</f>
        <v>-266333157</v>
      </c>
      <c r="E18" s="128">
        <f>E5-E9</f>
        <v>-248091545</v>
      </c>
      <c r="F18" s="128">
        <f t="shared" ref="F18:M19" si="2">F5-F9</f>
        <v>-132643101</v>
      </c>
      <c r="G18" s="128">
        <f t="shared" si="2"/>
        <v>63059476</v>
      </c>
      <c r="H18" s="128">
        <f t="shared" si="2"/>
        <v>93366544</v>
      </c>
      <c r="I18" s="128">
        <f t="shared" si="2"/>
        <v>93366544</v>
      </c>
      <c r="J18" s="128">
        <f t="shared" si="2"/>
        <v>93366544</v>
      </c>
      <c r="K18" s="128">
        <f t="shared" si="2"/>
        <v>93366544</v>
      </c>
      <c r="L18" s="128">
        <f t="shared" si="2"/>
        <v>93366544</v>
      </c>
      <c r="M18" s="128">
        <f t="shared" si="2"/>
        <v>93366568</v>
      </c>
    </row>
    <row r="19" spans="1:13" ht="22.5" customHeight="1">
      <c r="A19" s="122">
        <v>4</v>
      </c>
      <c r="B19" s="391" t="s">
        <v>195</v>
      </c>
      <c r="C19" s="392"/>
      <c r="D19" s="128">
        <f>D6-D10</f>
        <v>125809543</v>
      </c>
      <c r="E19" s="128">
        <f>E6-E10</f>
        <v>88430823</v>
      </c>
      <c r="F19" s="128">
        <f t="shared" si="2"/>
        <v>386028288</v>
      </c>
      <c r="G19" s="128">
        <f t="shared" si="2"/>
        <v>328450702</v>
      </c>
      <c r="H19" s="128">
        <f t="shared" si="2"/>
        <v>342025792</v>
      </c>
      <c r="I19" s="128">
        <f t="shared" si="2"/>
        <v>304637587</v>
      </c>
      <c r="J19" s="128">
        <f t="shared" si="2"/>
        <v>303137784</v>
      </c>
      <c r="K19" s="128">
        <f t="shared" si="2"/>
        <v>301633630</v>
      </c>
      <c r="L19" s="128">
        <f t="shared" si="2"/>
        <v>299798187</v>
      </c>
      <c r="M19" s="128">
        <f t="shared" si="2"/>
        <v>297910186</v>
      </c>
    </row>
    <row r="20" spans="1:13" ht="22.5" customHeight="1">
      <c r="A20" s="122">
        <v>5</v>
      </c>
      <c r="B20" s="391" t="s">
        <v>196</v>
      </c>
      <c r="C20" s="392"/>
      <c r="D20" s="128">
        <f>SUM(D21,D25)</f>
        <v>285485210.63999999</v>
      </c>
      <c r="E20" s="128">
        <f t="shared" ref="E20:M20" si="3">SUM(E21,E25)</f>
        <v>333954779</v>
      </c>
      <c r="F20" s="128">
        <f t="shared" si="3"/>
        <v>201089267</v>
      </c>
      <c r="G20" s="128">
        <f t="shared" si="3"/>
        <v>32965444</v>
      </c>
      <c r="H20" s="128">
        <f t="shared" si="3"/>
        <v>0</v>
      </c>
      <c r="I20" s="128">
        <f t="shared" si="3"/>
        <v>0</v>
      </c>
      <c r="J20" s="128">
        <f t="shared" si="3"/>
        <v>0</v>
      </c>
      <c r="K20" s="128">
        <f t="shared" si="3"/>
        <v>0</v>
      </c>
      <c r="L20" s="128">
        <f t="shared" si="3"/>
        <v>0</v>
      </c>
      <c r="M20" s="128">
        <f t="shared" si="3"/>
        <v>0</v>
      </c>
    </row>
    <row r="21" spans="1:13" ht="18" customHeight="1">
      <c r="A21" s="399"/>
      <c r="B21" s="136" t="s">
        <v>177</v>
      </c>
      <c r="C21" s="125" t="s">
        <v>197</v>
      </c>
      <c r="D21" s="126">
        <f>SUM(D22:D24)</f>
        <v>94521625</v>
      </c>
      <c r="E21" s="126">
        <f t="shared" ref="E21:M21" si="4">SUM(E22:E24)</f>
        <v>133550753</v>
      </c>
      <c r="F21" s="126">
        <f t="shared" si="4"/>
        <v>8036638</v>
      </c>
      <c r="G21" s="126">
        <f t="shared" si="4"/>
        <v>916664</v>
      </c>
      <c r="H21" s="126">
        <f t="shared" si="4"/>
        <v>0</v>
      </c>
      <c r="I21" s="126">
        <f t="shared" si="4"/>
        <v>0</v>
      </c>
      <c r="J21" s="126">
        <f t="shared" si="4"/>
        <v>0</v>
      </c>
      <c r="K21" s="126">
        <f t="shared" si="4"/>
        <v>0</v>
      </c>
      <c r="L21" s="126">
        <f t="shared" si="4"/>
        <v>0</v>
      </c>
      <c r="M21" s="126">
        <f t="shared" si="4"/>
        <v>0</v>
      </c>
    </row>
    <row r="22" spans="1:13" ht="18" customHeight="1">
      <c r="A22" s="400"/>
      <c r="B22" s="137"/>
      <c r="C22" s="237" t="s">
        <v>277</v>
      </c>
      <c r="D22" s="126">
        <f>'DANE ZBIORCZE'!C58</f>
        <v>0</v>
      </c>
      <c r="E22" s="126">
        <f>'DANE ZBIORCZE'!D58</f>
        <v>0</v>
      </c>
      <c r="F22" s="126">
        <f>'DANE ZBIORCZE'!E58</f>
        <v>0</v>
      </c>
      <c r="G22" s="126">
        <f>'DANE ZBIORCZE'!F58</f>
        <v>0</v>
      </c>
      <c r="H22" s="126">
        <f>'DANE ZBIORCZE'!G58</f>
        <v>0</v>
      </c>
      <c r="I22" s="126">
        <f>'DANE ZBIORCZE'!H58</f>
        <v>0</v>
      </c>
      <c r="J22" s="126">
        <f>'DANE ZBIORCZE'!I58</f>
        <v>0</v>
      </c>
      <c r="K22" s="126">
        <f>'DANE ZBIORCZE'!J58</f>
        <v>0</v>
      </c>
      <c r="L22" s="126">
        <f>'DANE ZBIORCZE'!K58</f>
        <v>0</v>
      </c>
      <c r="M22" s="126">
        <f>'DANE ZBIORCZE'!L58</f>
        <v>0</v>
      </c>
    </row>
    <row r="23" spans="1:13" ht="18" customHeight="1">
      <c r="A23" s="400"/>
      <c r="B23" s="124"/>
      <c r="C23" s="235" t="s">
        <v>278</v>
      </c>
      <c r="D23" s="126">
        <f>'DANE ZBIORCZE'!C59</f>
        <v>79310061</v>
      </c>
      <c r="E23" s="126">
        <f>'DANE ZBIORCZE'!D59</f>
        <v>125362196</v>
      </c>
      <c r="F23" s="126">
        <f>'DANE ZBIORCZE'!E59</f>
        <v>435000</v>
      </c>
      <c r="G23" s="126">
        <f>'DANE ZBIORCZE'!F59</f>
        <v>0</v>
      </c>
      <c r="H23" s="126">
        <f>'DANE ZBIORCZE'!G59</f>
        <v>0</v>
      </c>
      <c r="I23" s="126">
        <f>'DANE ZBIORCZE'!H59</f>
        <v>0</v>
      </c>
      <c r="J23" s="126">
        <f>'DANE ZBIORCZE'!I59</f>
        <v>0</v>
      </c>
      <c r="K23" s="126">
        <f>'DANE ZBIORCZE'!J59</f>
        <v>0</v>
      </c>
      <c r="L23" s="126">
        <f>'DANE ZBIORCZE'!K59</f>
        <v>0</v>
      </c>
      <c r="M23" s="126">
        <f>'DANE ZBIORCZE'!L59</f>
        <v>0</v>
      </c>
    </row>
    <row r="24" spans="1:13" ht="18" customHeight="1">
      <c r="A24" s="400"/>
      <c r="B24" s="124"/>
      <c r="C24" s="236" t="s">
        <v>279</v>
      </c>
      <c r="D24" s="126">
        <f>'DANE ZBIORCZE'!C60</f>
        <v>15211564</v>
      </c>
      <c r="E24" s="126">
        <f>'DANE ZBIORCZE'!D60</f>
        <v>8188557</v>
      </c>
      <c r="F24" s="126">
        <f>'DANE ZBIORCZE'!E60</f>
        <v>7601638</v>
      </c>
      <c r="G24" s="126">
        <f>'DANE ZBIORCZE'!F60</f>
        <v>916664</v>
      </c>
      <c r="H24" s="126">
        <f>'DANE ZBIORCZE'!G60</f>
        <v>0</v>
      </c>
      <c r="I24" s="126">
        <f>'DANE ZBIORCZE'!H60</f>
        <v>0</v>
      </c>
      <c r="J24" s="126">
        <f>'DANE ZBIORCZE'!I60</f>
        <v>0</v>
      </c>
      <c r="K24" s="126">
        <f>'DANE ZBIORCZE'!J60</f>
        <v>0</v>
      </c>
      <c r="L24" s="126">
        <f>'DANE ZBIORCZE'!K60</f>
        <v>0</v>
      </c>
      <c r="M24" s="126">
        <f>'DANE ZBIORCZE'!L60</f>
        <v>0</v>
      </c>
    </row>
    <row r="25" spans="1:13" ht="18" customHeight="1">
      <c r="A25" s="401"/>
      <c r="B25" s="124" t="s">
        <v>179</v>
      </c>
      <c r="C25" s="125" t="s">
        <v>201</v>
      </c>
      <c r="D25" s="126">
        <f>'DANE ZBIORCZE'!C61</f>
        <v>190963585.63999999</v>
      </c>
      <c r="E25" s="126">
        <f>'Zestawienie kredytów'!F36</f>
        <v>200404026</v>
      </c>
      <c r="F25" s="126">
        <f>'Zestawienie kredytów'!F48</f>
        <v>193052629</v>
      </c>
      <c r="G25" s="126">
        <f>'Zestawienie kredytów'!F61</f>
        <v>32048780</v>
      </c>
      <c r="H25" s="126">
        <v>0</v>
      </c>
      <c r="I25" s="126">
        <v>0</v>
      </c>
      <c r="J25" s="126">
        <v>0</v>
      </c>
      <c r="K25" s="126">
        <v>0</v>
      </c>
      <c r="L25" s="126">
        <v>0</v>
      </c>
      <c r="M25" s="126">
        <v>0</v>
      </c>
    </row>
    <row r="26" spans="1:13" ht="22.5" customHeight="1">
      <c r="A26" s="135">
        <v>6</v>
      </c>
      <c r="B26" s="391" t="s">
        <v>202</v>
      </c>
      <c r="C26" s="392"/>
      <c r="D26" s="128">
        <f>SUM(D27:D28)</f>
        <v>24832300.960000001</v>
      </c>
      <c r="E26" s="128">
        <f>SUM(E27:E28)</f>
        <v>85857375.639999986</v>
      </c>
      <c r="F26" s="128">
        <f t="shared" ref="F26:M26" si="5">SUM(F27:F28)</f>
        <v>68446166</v>
      </c>
      <c r="G26" s="128">
        <f t="shared" si="5"/>
        <v>96024920</v>
      </c>
      <c r="H26" s="128">
        <f t="shared" si="5"/>
        <v>93366544</v>
      </c>
      <c r="I26" s="128">
        <f t="shared" si="5"/>
        <v>93366544</v>
      </c>
      <c r="J26" s="128">
        <f t="shared" si="5"/>
        <v>93366544</v>
      </c>
      <c r="K26" s="128">
        <f t="shared" si="5"/>
        <v>93366544</v>
      </c>
      <c r="L26" s="128">
        <f t="shared" si="5"/>
        <v>93366544</v>
      </c>
      <c r="M26" s="128">
        <f t="shared" si="5"/>
        <v>93366567.810000002</v>
      </c>
    </row>
    <row r="27" spans="1:13" ht="18" customHeight="1">
      <c r="A27" s="399"/>
      <c r="B27" s="136" t="s">
        <v>177</v>
      </c>
      <c r="C27" s="125" t="s">
        <v>203</v>
      </c>
      <c r="D27" s="126">
        <f>'DANE ZBIORCZE'!C63</f>
        <v>22177476.960000001</v>
      </c>
      <c r="E27" s="126">
        <f>'DANE ZBIORCZE'!D63</f>
        <v>43395713.639999993</v>
      </c>
      <c r="F27" s="126">
        <f>'DANE ZBIORCZE'!E63</f>
        <v>68446166</v>
      </c>
      <c r="G27" s="126">
        <f>'DANE ZBIORCZE'!F63</f>
        <v>96024920</v>
      </c>
      <c r="H27" s="126">
        <f>'DANE ZBIORCZE'!G63</f>
        <v>93366544</v>
      </c>
      <c r="I27" s="126">
        <f>'DANE ZBIORCZE'!H63</f>
        <v>93366544</v>
      </c>
      <c r="J27" s="126">
        <f>'DANE ZBIORCZE'!I63</f>
        <v>93366544</v>
      </c>
      <c r="K27" s="126">
        <f>'DANE ZBIORCZE'!J63</f>
        <v>93366544</v>
      </c>
      <c r="L27" s="126">
        <f>'DANE ZBIORCZE'!K63</f>
        <v>93366544</v>
      </c>
      <c r="M27" s="126">
        <f>'DANE ZBIORCZE'!L63</f>
        <v>93366567.810000002</v>
      </c>
    </row>
    <row r="28" spans="1:13" ht="18" customHeight="1">
      <c r="A28" s="401"/>
      <c r="B28" s="124" t="s">
        <v>179</v>
      </c>
      <c r="C28" s="125" t="s">
        <v>204</v>
      </c>
      <c r="D28" s="126">
        <f>'DANE ZBIORCZE'!C64</f>
        <v>2654824</v>
      </c>
      <c r="E28" s="126">
        <f>'DANE ZBIORCZE'!D64</f>
        <v>42461662</v>
      </c>
      <c r="F28" s="126">
        <f>'DANE ZBIORCZE'!E64</f>
        <v>0</v>
      </c>
      <c r="G28" s="126">
        <f>'DANE ZBIORCZE'!F64</f>
        <v>0</v>
      </c>
      <c r="H28" s="126">
        <f>'DANE ZBIORCZE'!G64</f>
        <v>0</v>
      </c>
      <c r="I28" s="126">
        <f>'DANE ZBIORCZE'!H64</f>
        <v>0</v>
      </c>
      <c r="J28" s="126">
        <f>'DANE ZBIORCZE'!I64</f>
        <v>0</v>
      </c>
      <c r="K28" s="126">
        <f>'DANE ZBIORCZE'!J64</f>
        <v>0</v>
      </c>
      <c r="L28" s="126">
        <f>'DANE ZBIORCZE'!K64</f>
        <v>0</v>
      </c>
      <c r="M28" s="138">
        <f>'DANE ZBIORCZE'!L64</f>
        <v>0</v>
      </c>
    </row>
    <row r="29" spans="1:13" ht="22.5" customHeight="1" thickBot="1">
      <c r="A29" s="139">
        <v>7</v>
      </c>
      <c r="B29" s="402" t="s">
        <v>205</v>
      </c>
      <c r="C29" s="403"/>
      <c r="D29" s="140">
        <f>D5+D20-D9-D26</f>
        <v>-5680247.3200001344</v>
      </c>
      <c r="E29" s="140">
        <f>E5+E20-E9-E26</f>
        <v>5858.3600000143051</v>
      </c>
      <c r="F29" s="140">
        <f t="shared" ref="F29:M29" si="6">F5+F20-F9-F26</f>
        <v>0</v>
      </c>
      <c r="G29" s="140">
        <f t="shared" si="6"/>
        <v>0</v>
      </c>
      <c r="H29" s="140">
        <f t="shared" si="6"/>
        <v>0</v>
      </c>
      <c r="I29" s="140">
        <f t="shared" si="6"/>
        <v>0</v>
      </c>
      <c r="J29" s="140">
        <f t="shared" si="6"/>
        <v>0</v>
      </c>
      <c r="K29" s="140">
        <f t="shared" si="6"/>
        <v>0</v>
      </c>
      <c r="L29" s="140">
        <f t="shared" si="6"/>
        <v>0</v>
      </c>
      <c r="M29" s="140">
        <f t="shared" si="6"/>
        <v>0.18999999761581421</v>
      </c>
    </row>
    <row r="30" spans="1:13" ht="22.5" customHeight="1">
      <c r="A30" s="141">
        <v>8</v>
      </c>
      <c r="B30" s="397" t="s">
        <v>281</v>
      </c>
      <c r="C30" s="398"/>
      <c r="D30" s="142">
        <f>'Koszty kredytów'!D34</f>
        <v>342571452.44999999</v>
      </c>
      <c r="E30" s="142">
        <f>'Koszty kredytów'!E34</f>
        <v>499568964.81000006</v>
      </c>
      <c r="F30" s="142">
        <f>'Koszty kredytów'!F34</f>
        <v>624175427.81000006</v>
      </c>
      <c r="G30" s="142">
        <f>'Koszty kredytów'!G34</f>
        <v>560199287.81000006</v>
      </c>
      <c r="H30" s="142">
        <f>'Koszty kredytów'!H34</f>
        <v>466832743.81000006</v>
      </c>
      <c r="I30" s="142">
        <f>'Koszty kredytów'!I34</f>
        <v>373466199.81000006</v>
      </c>
      <c r="J30" s="142">
        <f>'Koszty kredytów'!J34</f>
        <v>280099655.81000006</v>
      </c>
      <c r="K30" s="142">
        <f>'Koszty kredytów'!K34</f>
        <v>186733111.81000006</v>
      </c>
      <c r="L30" s="142">
        <f>'Koszty kredytów'!L34</f>
        <v>93366567.810000062</v>
      </c>
      <c r="M30" s="142">
        <f>'Koszty kredytów'!M34</f>
        <v>0</v>
      </c>
    </row>
    <row r="31" spans="1:13" ht="19.5" customHeight="1">
      <c r="A31" s="143">
        <v>9</v>
      </c>
      <c r="B31" s="391" t="s">
        <v>284</v>
      </c>
      <c r="C31" s="392"/>
      <c r="D31" s="230"/>
      <c r="E31" s="126"/>
      <c r="F31" s="126"/>
      <c r="G31" s="126"/>
      <c r="H31" s="126"/>
      <c r="I31" s="126"/>
      <c r="J31" s="126"/>
      <c r="K31" s="126"/>
      <c r="L31" s="126"/>
      <c r="M31" s="126"/>
    </row>
    <row r="32" spans="1:13" ht="18" customHeight="1">
      <c r="A32" s="399"/>
      <c r="B32" s="136" t="s">
        <v>177</v>
      </c>
      <c r="C32" s="125" t="s">
        <v>282</v>
      </c>
      <c r="D32" s="226">
        <f>(D13+D14+D27)/D5</f>
        <v>2.9375539671531441E-2</v>
      </c>
      <c r="E32" s="226">
        <f t="shared" ref="E32:M32" si="7">(E13+E14+E27)/E5</f>
        <v>5.32392945186742E-2</v>
      </c>
      <c r="F32" s="226">
        <f t="shared" si="7"/>
        <v>6.0000105843307498E-2</v>
      </c>
      <c r="G32" s="226">
        <f t="shared" si="7"/>
        <v>9.3687398266277297E-2</v>
      </c>
      <c r="H32" s="226">
        <f t="shared" si="7"/>
        <v>0.13825439414034352</v>
      </c>
      <c r="I32" s="226">
        <f t="shared" si="7"/>
        <v>0.14348069982109313</v>
      </c>
      <c r="J32" s="226">
        <f t="shared" si="7"/>
        <v>0.13635992180799358</v>
      </c>
      <c r="K32" s="226">
        <f t="shared" si="7"/>
        <v>0.12965168296339194</v>
      </c>
      <c r="L32" s="226">
        <f t="shared" si="7"/>
        <v>0.1229007740995454</v>
      </c>
      <c r="M32" s="226">
        <f t="shared" si="7"/>
        <v>0.1166354696586142</v>
      </c>
    </row>
    <row r="33" spans="1:13" ht="18" customHeight="1">
      <c r="A33" s="401"/>
      <c r="B33" s="136" t="s">
        <v>179</v>
      </c>
      <c r="C33" s="125" t="s">
        <v>283</v>
      </c>
      <c r="D33" s="226">
        <f>('wielkości początkowe'!D12+'wielkości początkowe'!E12+'wielkości początkowe'!F12)/3</f>
        <v>0.14717025849947621</v>
      </c>
      <c r="E33" s="226">
        <f>('wielkości początkowe'!E12+'wielkości początkowe'!F12+'wielkości początkowe'!G12)/3</f>
        <v>0.14131935516288571</v>
      </c>
      <c r="F33" s="226">
        <f>('wielkości początkowe'!F12+'wielkości początkowe'!G12+'wielkości początkowe'!H12)/3</f>
        <v>0.13666530467221541</v>
      </c>
      <c r="G33" s="226">
        <f>('wielkości początkowe'!G12+'wielkości początkowe'!H12+'wielkości początkowe'!I12)/3</f>
        <v>0.15562417494074177</v>
      </c>
      <c r="H33" s="226">
        <f>('wielkości początkowe'!H12+'wielkości początkowe'!I12+'wielkości początkowe'!J12)/3</f>
        <v>0.16772448800983067</v>
      </c>
      <c r="I33" s="226">
        <f>('wielkości początkowe'!I12+'wielkości początkowe'!J12+'wielkości początkowe'!K12)/3</f>
        <v>0.26841236779994587</v>
      </c>
      <c r="J33" s="226">
        <f>('wielkości początkowe'!J12+'wielkości początkowe'!K12+'wielkości początkowe'!L12)/3</f>
        <v>0.31452113021796463</v>
      </c>
      <c r="K33" s="226">
        <f>('wielkości początkowe'!K12+'wielkości początkowe'!L12+'wielkości początkowe'!M12)/3</f>
        <v>0.3574074663118087</v>
      </c>
      <c r="L33" s="226">
        <f>('wielkości początkowe'!L12+'wielkości początkowe'!M12+'wielkości początkowe'!N12)/3</f>
        <v>0.35088495292773741</v>
      </c>
      <c r="M33" s="226">
        <f>('wielkości początkowe'!M12+'wielkości początkowe'!N12+'wielkości początkowe'!O12)/3</f>
        <v>0.34736390473170892</v>
      </c>
    </row>
    <row r="34" spans="1:13" ht="22.5" customHeight="1">
      <c r="A34" s="143">
        <v>10</v>
      </c>
      <c r="B34" s="391" t="s">
        <v>212</v>
      </c>
      <c r="C34" s="392"/>
      <c r="D34" s="225" t="str">
        <f>IF(D32&lt;=D33,"TAK","NIE")</f>
        <v>TAK</v>
      </c>
      <c r="E34" s="225" t="str">
        <f t="shared" ref="E34:M34" si="8">IF(E32&lt;=E33,"TAK","NIE")</f>
        <v>TAK</v>
      </c>
      <c r="F34" s="225" t="str">
        <f t="shared" si="8"/>
        <v>TAK</v>
      </c>
      <c r="G34" s="225" t="str">
        <f t="shared" si="8"/>
        <v>TAK</v>
      </c>
      <c r="H34" s="225" t="str">
        <f t="shared" si="8"/>
        <v>TAK</v>
      </c>
      <c r="I34" s="225" t="str">
        <f t="shared" si="8"/>
        <v>TAK</v>
      </c>
      <c r="J34" s="225" t="str">
        <f t="shared" si="8"/>
        <v>TAK</v>
      </c>
      <c r="K34" s="225" t="str">
        <f t="shared" si="8"/>
        <v>TAK</v>
      </c>
      <c r="L34" s="225" t="str">
        <f t="shared" si="8"/>
        <v>TAK</v>
      </c>
      <c r="M34" s="225" t="str">
        <f t="shared" si="8"/>
        <v>TAK</v>
      </c>
    </row>
    <row r="35" spans="1:13" ht="36" customHeight="1">
      <c r="A35" s="143">
        <v>11</v>
      </c>
      <c r="B35" s="391" t="s">
        <v>214</v>
      </c>
      <c r="C35" s="392"/>
      <c r="D35" s="227">
        <f>D30/D5</f>
        <v>0.24911567524438005</v>
      </c>
      <c r="E35" s="227">
        <f t="shared" ref="E35:M35" si="9">E30/E5</f>
        <v>0.34708571664670285</v>
      </c>
      <c r="F35" s="227">
        <f t="shared" si="9"/>
        <v>0.344917811409513</v>
      </c>
      <c r="G35" s="227">
        <f t="shared" si="9"/>
        <v>0.37359111501379688</v>
      </c>
      <c r="H35" s="227">
        <f t="shared" si="9"/>
        <v>0.49776761213239029</v>
      </c>
      <c r="I35" s="227">
        <f t="shared" si="9"/>
        <v>0.42878076233761064</v>
      </c>
      <c r="J35" s="227">
        <f t="shared" si="9"/>
        <v>0.31890362321834692</v>
      </c>
      <c r="K35" s="227">
        <f t="shared" si="9"/>
        <v>0.21123813371769828</v>
      </c>
      <c r="L35" s="227">
        <f t="shared" si="9"/>
        <v>0.10497854572627381</v>
      </c>
      <c r="M35" s="227">
        <f t="shared" si="9"/>
        <v>0</v>
      </c>
    </row>
    <row r="36" spans="1:13" ht="36" customHeight="1" thickBot="1">
      <c r="A36" s="146">
        <v>12</v>
      </c>
      <c r="B36" s="402" t="s">
        <v>285</v>
      </c>
      <c r="C36" s="403"/>
      <c r="D36" s="228">
        <f>(D13+D14+D27)/D5</f>
        <v>2.9375539671531441E-2</v>
      </c>
      <c r="E36" s="228">
        <f t="shared" ref="E36:M36" si="10">(E13+E14+E27)/E5</f>
        <v>5.32392945186742E-2</v>
      </c>
      <c r="F36" s="228">
        <f t="shared" si="10"/>
        <v>6.0000105843307498E-2</v>
      </c>
      <c r="G36" s="228">
        <f t="shared" si="10"/>
        <v>9.3687398266277297E-2</v>
      </c>
      <c r="H36" s="228">
        <f t="shared" si="10"/>
        <v>0.13825439414034352</v>
      </c>
      <c r="I36" s="228">
        <f t="shared" si="10"/>
        <v>0.14348069982109313</v>
      </c>
      <c r="J36" s="228">
        <f t="shared" si="10"/>
        <v>0.13635992180799358</v>
      </c>
      <c r="K36" s="228">
        <f t="shared" si="10"/>
        <v>0.12965168296339194</v>
      </c>
      <c r="L36" s="228">
        <f t="shared" si="10"/>
        <v>0.1229007740995454</v>
      </c>
      <c r="M36" s="228">
        <f t="shared" si="10"/>
        <v>0.1166354696586142</v>
      </c>
    </row>
    <row r="37" spans="1:13" ht="28.5" customHeight="1" thickBot="1">
      <c r="A37" s="147"/>
      <c r="B37" s="147"/>
      <c r="C37" s="148"/>
      <c r="D37" s="148"/>
      <c r="E37" s="149"/>
      <c r="F37" s="149"/>
      <c r="G37" s="149"/>
      <c r="H37" s="149"/>
      <c r="I37" s="149"/>
      <c r="J37" s="149"/>
      <c r="K37" s="149"/>
      <c r="L37" s="149"/>
      <c r="M37" s="149"/>
    </row>
    <row r="38" spans="1:13" ht="21.6" customHeight="1">
      <c r="A38" s="150">
        <v>13</v>
      </c>
      <c r="B38" s="397" t="s">
        <v>215</v>
      </c>
      <c r="C38" s="398"/>
      <c r="D38" s="142">
        <f>SUM(D39:D45)</f>
        <v>22177476.960000001</v>
      </c>
      <c r="E38" s="142">
        <f t="shared" ref="E38:M38" si="11">SUM(E39:E45)</f>
        <v>43395713.639999993</v>
      </c>
      <c r="F38" s="142">
        <f t="shared" si="11"/>
        <v>68446166</v>
      </c>
      <c r="G38" s="142">
        <f t="shared" si="11"/>
        <v>96024920</v>
      </c>
      <c r="H38" s="142">
        <f t="shared" si="11"/>
        <v>93366544</v>
      </c>
      <c r="I38" s="142">
        <f t="shared" si="11"/>
        <v>93366544</v>
      </c>
      <c r="J38" s="142">
        <f t="shared" si="11"/>
        <v>93366544</v>
      </c>
      <c r="K38" s="142">
        <f t="shared" si="11"/>
        <v>93366544</v>
      </c>
      <c r="L38" s="142">
        <f t="shared" si="11"/>
        <v>93366544</v>
      </c>
      <c r="M38" s="142">
        <f t="shared" si="11"/>
        <v>93366567.810000002</v>
      </c>
    </row>
    <row r="39" spans="1:13" ht="15">
      <c r="A39" s="399"/>
      <c r="B39" s="124" t="s">
        <v>177</v>
      </c>
      <c r="C39" s="125" t="s">
        <v>216</v>
      </c>
      <c r="D39" s="248">
        <f>D27</f>
        <v>22177476.960000001</v>
      </c>
      <c r="E39" s="248">
        <f>E27</f>
        <v>43395713.639999993</v>
      </c>
      <c r="F39" s="248">
        <f>F27-F43</f>
        <v>7601638</v>
      </c>
      <c r="G39" s="248">
        <f>G27-G43</f>
        <v>63976140</v>
      </c>
      <c r="H39" s="248">
        <f t="shared" ref="H39:M39" si="12">H27</f>
        <v>93366544</v>
      </c>
      <c r="I39" s="248">
        <f t="shared" si="12"/>
        <v>93366544</v>
      </c>
      <c r="J39" s="248">
        <f t="shared" si="12"/>
        <v>93366544</v>
      </c>
      <c r="K39" s="248">
        <f t="shared" si="12"/>
        <v>93366544</v>
      </c>
      <c r="L39" s="248">
        <f t="shared" si="12"/>
        <v>93366544</v>
      </c>
      <c r="M39" s="248">
        <f t="shared" si="12"/>
        <v>93366567.810000002</v>
      </c>
    </row>
    <row r="40" spans="1:13" ht="15">
      <c r="A40" s="400"/>
      <c r="B40" s="124" t="s">
        <v>179</v>
      </c>
      <c r="C40" s="125" t="s">
        <v>198</v>
      </c>
      <c r="D40" s="248"/>
      <c r="E40" s="138">
        <v>0</v>
      </c>
      <c r="F40" s="126">
        <v>0</v>
      </c>
      <c r="G40" s="126">
        <v>0</v>
      </c>
      <c r="H40" s="126">
        <v>0</v>
      </c>
      <c r="I40" s="126">
        <v>0</v>
      </c>
      <c r="J40" s="126">
        <v>0</v>
      </c>
      <c r="K40" s="126">
        <v>0</v>
      </c>
      <c r="L40" s="126">
        <v>0</v>
      </c>
      <c r="M40" s="126">
        <v>0</v>
      </c>
    </row>
    <row r="41" spans="1:13" ht="15">
      <c r="A41" s="400"/>
      <c r="B41" s="124" t="s">
        <v>181</v>
      </c>
      <c r="C41" s="125" t="s">
        <v>199</v>
      </c>
      <c r="D41" s="248"/>
      <c r="E41" s="138">
        <v>0</v>
      </c>
      <c r="F41" s="126">
        <v>0</v>
      </c>
      <c r="G41" s="126">
        <v>0</v>
      </c>
      <c r="H41" s="126">
        <v>0</v>
      </c>
      <c r="I41" s="126">
        <v>0</v>
      </c>
      <c r="J41" s="126">
        <v>0</v>
      </c>
      <c r="K41" s="126">
        <v>0</v>
      </c>
      <c r="L41" s="126">
        <v>0</v>
      </c>
      <c r="M41" s="126">
        <v>0</v>
      </c>
    </row>
    <row r="42" spans="1:13" ht="15">
      <c r="A42" s="400"/>
      <c r="B42" s="124" t="s">
        <v>185</v>
      </c>
      <c r="C42" s="125" t="s">
        <v>218</v>
      </c>
      <c r="D42" s="248"/>
      <c r="E42" s="138">
        <v>0</v>
      </c>
      <c r="F42" s="126">
        <v>0</v>
      </c>
      <c r="G42" s="126">
        <v>0</v>
      </c>
      <c r="H42" s="126">
        <v>0</v>
      </c>
      <c r="I42" s="126">
        <v>0</v>
      </c>
      <c r="J42" s="126">
        <v>0</v>
      </c>
      <c r="K42" s="126">
        <v>0</v>
      </c>
      <c r="L42" s="126">
        <v>0</v>
      </c>
      <c r="M42" s="126">
        <v>0</v>
      </c>
    </row>
    <row r="43" spans="1:13" ht="15">
      <c r="A43" s="400"/>
      <c r="B43" s="124" t="s">
        <v>187</v>
      </c>
      <c r="C43" s="125" t="s">
        <v>219</v>
      </c>
      <c r="D43" s="248"/>
      <c r="E43" s="138">
        <v>0</v>
      </c>
      <c r="F43" s="126">
        <v>60844528</v>
      </c>
      <c r="G43" s="126">
        <f>G25</f>
        <v>32048780</v>
      </c>
      <c r="H43" s="126">
        <v>0</v>
      </c>
      <c r="I43" s="126">
        <v>0</v>
      </c>
      <c r="J43" s="126">
        <v>0</v>
      </c>
      <c r="K43" s="126">
        <v>0</v>
      </c>
      <c r="L43" s="126">
        <v>0</v>
      </c>
      <c r="M43" s="126">
        <v>0</v>
      </c>
    </row>
    <row r="44" spans="1:13" ht="15">
      <c r="A44" s="400"/>
      <c r="B44" s="124" t="s">
        <v>188</v>
      </c>
      <c r="C44" s="125" t="s">
        <v>220</v>
      </c>
      <c r="D44" s="248"/>
      <c r="E44" s="138">
        <v>0</v>
      </c>
      <c r="F44" s="126">
        <v>0</v>
      </c>
      <c r="G44" s="126">
        <v>0</v>
      </c>
      <c r="H44" s="126">
        <v>0</v>
      </c>
      <c r="I44" s="126">
        <v>0</v>
      </c>
      <c r="J44" s="126">
        <v>0</v>
      </c>
      <c r="K44" s="126">
        <v>0</v>
      </c>
      <c r="L44" s="126">
        <v>0</v>
      </c>
      <c r="M44" s="126">
        <v>0</v>
      </c>
    </row>
    <row r="45" spans="1:13" ht="15.75" thickBot="1">
      <c r="A45" s="404"/>
      <c r="B45" s="157" t="s">
        <v>190</v>
      </c>
      <c r="C45" s="158" t="s">
        <v>221</v>
      </c>
      <c r="D45" s="249"/>
      <c r="E45" s="250">
        <v>0</v>
      </c>
      <c r="F45" s="167">
        <v>0</v>
      </c>
      <c r="G45" s="167">
        <v>0</v>
      </c>
      <c r="H45" s="167">
        <v>0</v>
      </c>
      <c r="I45" s="167">
        <v>0</v>
      </c>
      <c r="J45" s="167">
        <v>0</v>
      </c>
      <c r="K45" s="167">
        <v>0</v>
      </c>
      <c r="L45" s="167">
        <v>0</v>
      </c>
      <c r="M45" s="167">
        <v>0</v>
      </c>
    </row>
    <row r="46" spans="1:13" ht="29.25" customHeight="1" thickBot="1">
      <c r="A46" s="161"/>
      <c r="B46" s="161"/>
      <c r="C46" s="162"/>
      <c r="D46" s="251"/>
      <c r="E46" s="252"/>
      <c r="F46" s="252"/>
      <c r="G46" s="252"/>
      <c r="H46" s="252"/>
      <c r="I46" s="252"/>
      <c r="J46" s="252"/>
      <c r="K46" s="252"/>
      <c r="L46" s="252"/>
      <c r="M46" s="252"/>
    </row>
    <row r="47" spans="1:13" ht="21.6" customHeight="1">
      <c r="A47" s="150">
        <v>14</v>
      </c>
      <c r="B47" s="397" t="s">
        <v>222</v>
      </c>
      <c r="C47" s="398"/>
      <c r="D47" s="142"/>
      <c r="E47" s="266">
        <f t="shared" ref="E47:M47" si="13">SUM(E48:E52)</f>
        <v>0</v>
      </c>
      <c r="F47" s="267">
        <f t="shared" si="13"/>
        <v>0</v>
      </c>
      <c r="G47" s="266">
        <f t="shared" si="13"/>
        <v>63059476</v>
      </c>
      <c r="H47" s="266">
        <f t="shared" si="13"/>
        <v>93366544</v>
      </c>
      <c r="I47" s="266">
        <f t="shared" si="13"/>
        <v>93366544</v>
      </c>
      <c r="J47" s="266">
        <f t="shared" si="13"/>
        <v>93366544</v>
      </c>
      <c r="K47" s="266">
        <f t="shared" si="13"/>
        <v>93366544</v>
      </c>
      <c r="L47" s="266">
        <f t="shared" si="13"/>
        <v>93366544</v>
      </c>
      <c r="M47" s="266">
        <f t="shared" si="13"/>
        <v>93366568</v>
      </c>
    </row>
    <row r="48" spans="1:13" ht="15">
      <c r="A48" s="399"/>
      <c r="B48" s="124" t="s">
        <v>177</v>
      </c>
      <c r="C48" s="125" t="s">
        <v>223</v>
      </c>
      <c r="D48" s="248"/>
      <c r="E48" s="126">
        <v>0</v>
      </c>
      <c r="F48" s="166">
        <v>0</v>
      </c>
      <c r="G48" s="126">
        <v>0</v>
      </c>
      <c r="H48" s="126">
        <v>0</v>
      </c>
      <c r="I48" s="126">
        <v>0</v>
      </c>
      <c r="J48" s="126">
        <v>0</v>
      </c>
      <c r="K48" s="126">
        <v>0</v>
      </c>
      <c r="L48" s="126">
        <v>0</v>
      </c>
      <c r="M48" s="126">
        <v>0</v>
      </c>
    </row>
    <row r="49" spans="1:13" ht="15">
      <c r="A49" s="400"/>
      <c r="B49" s="124" t="s">
        <v>179</v>
      </c>
      <c r="C49" s="125" t="s">
        <v>224</v>
      </c>
      <c r="D49" s="248"/>
      <c r="E49" s="126">
        <v>0</v>
      </c>
      <c r="F49" s="166">
        <v>0</v>
      </c>
      <c r="G49" s="126">
        <v>0</v>
      </c>
      <c r="H49" s="126">
        <v>0</v>
      </c>
      <c r="I49" s="126">
        <v>0</v>
      </c>
      <c r="J49" s="126">
        <v>0</v>
      </c>
      <c r="K49" s="126">
        <v>0</v>
      </c>
      <c r="L49" s="126">
        <v>0</v>
      </c>
      <c r="M49" s="126">
        <v>0</v>
      </c>
    </row>
    <row r="50" spans="1:13" ht="15">
      <c r="A50" s="400"/>
      <c r="B50" s="124" t="s">
        <v>181</v>
      </c>
      <c r="C50" s="125" t="s">
        <v>225</v>
      </c>
      <c r="D50" s="248"/>
      <c r="E50" s="126">
        <v>0</v>
      </c>
      <c r="F50" s="166">
        <v>0</v>
      </c>
      <c r="G50" s="126">
        <v>0</v>
      </c>
      <c r="H50" s="126">
        <v>0</v>
      </c>
      <c r="I50" s="126">
        <v>0</v>
      </c>
      <c r="J50" s="126">
        <v>0</v>
      </c>
      <c r="K50" s="126">
        <v>0</v>
      </c>
      <c r="L50" s="126">
        <v>0</v>
      </c>
      <c r="M50" s="126">
        <v>0</v>
      </c>
    </row>
    <row r="51" spans="1:13" ht="15">
      <c r="A51" s="400"/>
      <c r="B51" s="124" t="s">
        <v>185</v>
      </c>
      <c r="C51" s="125" t="s">
        <v>226</v>
      </c>
      <c r="D51" s="248"/>
      <c r="E51" s="126">
        <v>0</v>
      </c>
      <c r="F51" s="166">
        <v>0</v>
      </c>
      <c r="G51" s="126">
        <v>0</v>
      </c>
      <c r="H51" s="126">
        <v>0</v>
      </c>
      <c r="I51" s="126">
        <v>0</v>
      </c>
      <c r="J51" s="126">
        <v>0</v>
      </c>
      <c r="K51" s="126">
        <v>0</v>
      </c>
      <c r="L51" s="126">
        <v>0</v>
      </c>
      <c r="M51" s="126">
        <v>0</v>
      </c>
    </row>
    <row r="52" spans="1:13" ht="15">
      <c r="A52" s="401"/>
      <c r="B52" s="124" t="s">
        <v>187</v>
      </c>
      <c r="C52" s="125" t="s">
        <v>227</v>
      </c>
      <c r="D52" s="248"/>
      <c r="E52" s="126">
        <v>0</v>
      </c>
      <c r="F52" s="166">
        <v>0</v>
      </c>
      <c r="G52" s="126">
        <f t="shared" ref="G52:M52" si="14">G18</f>
        <v>63059476</v>
      </c>
      <c r="H52" s="126">
        <f t="shared" si="14"/>
        <v>93366544</v>
      </c>
      <c r="I52" s="126">
        <f t="shared" si="14"/>
        <v>93366544</v>
      </c>
      <c r="J52" s="126">
        <f t="shared" si="14"/>
        <v>93366544</v>
      </c>
      <c r="K52" s="126">
        <f t="shared" si="14"/>
        <v>93366544</v>
      </c>
      <c r="L52" s="126">
        <f t="shared" si="14"/>
        <v>93366544</v>
      </c>
      <c r="M52" s="126">
        <f t="shared" si="14"/>
        <v>93366568</v>
      </c>
    </row>
    <row r="53" spans="1:13" ht="21.6" customHeight="1">
      <c r="A53" s="135">
        <v>15</v>
      </c>
      <c r="B53" s="391" t="s">
        <v>228</v>
      </c>
      <c r="C53" s="392"/>
      <c r="D53" s="253">
        <f>D18</f>
        <v>-266333157</v>
      </c>
      <c r="E53" s="253">
        <f>E18</f>
        <v>-248091545</v>
      </c>
      <c r="F53" s="253">
        <f>F18</f>
        <v>-132643101</v>
      </c>
      <c r="G53" s="128">
        <v>0</v>
      </c>
      <c r="H53" s="128">
        <v>0</v>
      </c>
      <c r="I53" s="128">
        <v>0</v>
      </c>
      <c r="J53" s="128">
        <v>0</v>
      </c>
      <c r="K53" s="128">
        <v>0</v>
      </c>
      <c r="L53" s="128">
        <v>0</v>
      </c>
      <c r="M53" s="128">
        <v>0</v>
      </c>
    </row>
    <row r="54" spans="1:13" ht="15">
      <c r="A54" s="399"/>
      <c r="B54" s="124" t="s">
        <v>177</v>
      </c>
      <c r="C54" s="125" t="s">
        <v>229</v>
      </c>
      <c r="D54" s="248"/>
      <c r="E54" s="126">
        <v>0</v>
      </c>
      <c r="F54" s="166">
        <v>0</v>
      </c>
      <c r="G54" s="126">
        <v>0</v>
      </c>
      <c r="H54" s="126">
        <v>0</v>
      </c>
      <c r="I54" s="126">
        <v>0</v>
      </c>
      <c r="J54" s="126">
        <v>0</v>
      </c>
      <c r="K54" s="126">
        <v>0</v>
      </c>
      <c r="L54" s="126">
        <v>0</v>
      </c>
      <c r="M54" s="126">
        <v>0</v>
      </c>
    </row>
    <row r="55" spans="1:13" ht="15">
      <c r="A55" s="400"/>
      <c r="B55" s="124" t="s">
        <v>179</v>
      </c>
      <c r="C55" s="125" t="s">
        <v>230</v>
      </c>
      <c r="D55" s="248">
        <f>D25</f>
        <v>190963585.63999999</v>
      </c>
      <c r="E55" s="248">
        <f>E25</f>
        <v>200404026</v>
      </c>
      <c r="F55" s="248">
        <v>132208101</v>
      </c>
      <c r="G55" s="126">
        <v>0</v>
      </c>
      <c r="H55" s="126">
        <v>0</v>
      </c>
      <c r="I55" s="126">
        <v>0</v>
      </c>
      <c r="J55" s="126">
        <v>0</v>
      </c>
      <c r="K55" s="126">
        <v>0</v>
      </c>
      <c r="L55" s="126">
        <v>0</v>
      </c>
      <c r="M55" s="126">
        <v>0</v>
      </c>
    </row>
    <row r="56" spans="1:13" ht="15">
      <c r="A56" s="400"/>
      <c r="B56" s="124" t="s">
        <v>181</v>
      </c>
      <c r="C56" s="125" t="s">
        <v>221</v>
      </c>
      <c r="D56" s="248"/>
      <c r="E56" s="126">
        <v>0</v>
      </c>
      <c r="F56" s="166">
        <v>0</v>
      </c>
      <c r="G56" s="126">
        <v>0</v>
      </c>
      <c r="H56" s="166">
        <v>0</v>
      </c>
      <c r="I56" s="126">
        <v>0</v>
      </c>
      <c r="J56" s="166">
        <v>0</v>
      </c>
      <c r="K56" s="126">
        <v>0</v>
      </c>
      <c r="L56" s="166">
        <v>0</v>
      </c>
      <c r="M56" s="126">
        <v>0</v>
      </c>
    </row>
    <row r="57" spans="1:13" ht="15">
      <c r="A57" s="400"/>
      <c r="B57" s="124" t="s">
        <v>185</v>
      </c>
      <c r="C57" s="125" t="s">
        <v>218</v>
      </c>
      <c r="D57" s="248"/>
      <c r="E57" s="126">
        <v>0</v>
      </c>
      <c r="F57" s="166">
        <v>0</v>
      </c>
      <c r="G57" s="126">
        <v>0</v>
      </c>
      <c r="H57" s="166">
        <v>0</v>
      </c>
      <c r="I57" s="126">
        <v>0</v>
      </c>
      <c r="J57" s="166">
        <v>0</v>
      </c>
      <c r="K57" s="126">
        <v>0</v>
      </c>
      <c r="L57" s="166">
        <v>0</v>
      </c>
      <c r="M57" s="126">
        <v>0</v>
      </c>
    </row>
    <row r="58" spans="1:13" ht="15">
      <c r="A58" s="400"/>
      <c r="B58" s="124" t="s">
        <v>187</v>
      </c>
      <c r="C58" s="125" t="s">
        <v>220</v>
      </c>
      <c r="D58" s="248">
        <f>D24</f>
        <v>15211564</v>
      </c>
      <c r="E58" s="248">
        <v>0</v>
      </c>
      <c r="F58" s="248">
        <v>0</v>
      </c>
      <c r="G58" s="126">
        <v>0</v>
      </c>
      <c r="H58" s="166">
        <v>0</v>
      </c>
      <c r="I58" s="126">
        <v>0</v>
      </c>
      <c r="J58" s="166">
        <v>0</v>
      </c>
      <c r="K58" s="126">
        <v>0</v>
      </c>
      <c r="L58" s="166">
        <v>0</v>
      </c>
      <c r="M58" s="126">
        <v>0</v>
      </c>
    </row>
    <row r="59" spans="1:13" ht="15">
      <c r="A59" s="400"/>
      <c r="B59" s="124" t="s">
        <v>188</v>
      </c>
      <c r="C59" s="125" t="s">
        <v>217</v>
      </c>
      <c r="D59" s="248"/>
      <c r="E59" s="126">
        <v>0</v>
      </c>
      <c r="F59" s="166">
        <v>0</v>
      </c>
      <c r="G59" s="126">
        <v>0</v>
      </c>
      <c r="H59" s="166">
        <v>0</v>
      </c>
      <c r="I59" s="126">
        <v>0</v>
      </c>
      <c r="J59" s="166">
        <v>0</v>
      </c>
      <c r="K59" s="126">
        <v>0</v>
      </c>
      <c r="L59" s="166">
        <v>0</v>
      </c>
      <c r="M59" s="126">
        <v>0</v>
      </c>
    </row>
    <row r="60" spans="1:13" ht="15.75" thickBot="1">
      <c r="A60" s="404"/>
      <c r="B60" s="157" t="s">
        <v>190</v>
      </c>
      <c r="C60" s="158" t="s">
        <v>199</v>
      </c>
      <c r="D60" s="249">
        <f>D23-D26</f>
        <v>54477760.039999999</v>
      </c>
      <c r="E60" s="249">
        <v>47687519</v>
      </c>
      <c r="F60" s="249">
        <v>435000</v>
      </c>
      <c r="G60" s="167">
        <v>0</v>
      </c>
      <c r="H60" s="168">
        <v>0</v>
      </c>
      <c r="I60" s="167">
        <v>0</v>
      </c>
      <c r="J60" s="168">
        <v>0</v>
      </c>
      <c r="K60" s="167">
        <v>0</v>
      </c>
      <c r="L60" s="168">
        <v>0</v>
      </c>
      <c r="M60" s="167">
        <v>0</v>
      </c>
    </row>
  </sheetData>
  <mergeCells count="26">
    <mergeCell ref="A48:A52"/>
    <mergeCell ref="B53:C53"/>
    <mergeCell ref="A54:A60"/>
    <mergeCell ref="B34:C34"/>
    <mergeCell ref="B35:C35"/>
    <mergeCell ref="B36:C36"/>
    <mergeCell ref="B38:C38"/>
    <mergeCell ref="A39:A45"/>
    <mergeCell ref="B47:C47"/>
    <mergeCell ref="A32:A33"/>
    <mergeCell ref="A10:A17"/>
    <mergeCell ref="B18:C18"/>
    <mergeCell ref="B19:C19"/>
    <mergeCell ref="B20:C20"/>
    <mergeCell ref="A21:A25"/>
    <mergeCell ref="B26:C26"/>
    <mergeCell ref="A27:A28"/>
    <mergeCell ref="B29:C29"/>
    <mergeCell ref="B30:C30"/>
    <mergeCell ref="B31:C31"/>
    <mergeCell ref="B9:C9"/>
    <mergeCell ref="A1:M1"/>
    <mergeCell ref="A2:M2"/>
    <mergeCell ref="B4:C4"/>
    <mergeCell ref="B5:C5"/>
    <mergeCell ref="A6:A8"/>
  </mergeCells>
  <pageMargins left="0.39370078740157483" right="0.19685039370078741" top="0.23622047244094491" bottom="0.35433070866141736" header="0.15748031496062992" footer="0.31496062992125984"/>
  <pageSetup paperSize="9" scale="68" fitToHeight="2" orientation="landscape" r:id="rId1"/>
  <rowBreaks count="1" manualBreakCount="1">
    <brk id="37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C00000"/>
  </sheetPr>
  <dimension ref="A2:G140"/>
  <sheetViews>
    <sheetView topLeftCell="A23" zoomScale="80" zoomScaleNormal="80" workbookViewId="0">
      <selection activeCell="B51" sqref="B51"/>
    </sheetView>
  </sheetViews>
  <sheetFormatPr defaultRowHeight="14.25"/>
  <cols>
    <col min="1" max="1" width="20" customWidth="1"/>
    <col min="2" max="2" width="17.5" customWidth="1"/>
    <col min="3" max="4" width="15.625" customWidth="1"/>
    <col min="5" max="5" width="2" customWidth="1"/>
    <col min="6" max="6" width="19.125" customWidth="1"/>
  </cols>
  <sheetData>
    <row r="2" spans="1:7" ht="67.5" customHeight="1">
      <c r="A2" s="426" t="s">
        <v>153</v>
      </c>
      <c r="B2" s="426"/>
      <c r="C2" s="426"/>
      <c r="D2" s="426"/>
      <c r="E2" s="426"/>
      <c r="F2" s="426"/>
    </row>
    <row r="3" spans="1:7">
      <c r="A3" s="427"/>
      <c r="B3" s="427"/>
      <c r="C3" s="427"/>
      <c r="D3" s="427"/>
      <c r="F3" s="57" t="s">
        <v>76</v>
      </c>
      <c r="G3" s="58"/>
    </row>
    <row r="4" spans="1:7" ht="15" thickBot="1">
      <c r="D4" s="2" t="s">
        <v>10</v>
      </c>
    </row>
    <row r="5" spans="1:7" ht="39" thickBot="1">
      <c r="A5" s="3" t="s">
        <v>11</v>
      </c>
      <c r="B5" s="4" t="s">
        <v>12</v>
      </c>
      <c r="C5" s="4" t="s">
        <v>13</v>
      </c>
      <c r="D5" s="5" t="s">
        <v>14</v>
      </c>
      <c r="F5" s="59" t="s">
        <v>77</v>
      </c>
    </row>
    <row r="6" spans="1:7" ht="15.75">
      <c r="A6" s="6" t="s">
        <v>79</v>
      </c>
      <c r="B6" s="7"/>
      <c r="C6" s="8"/>
      <c r="D6" s="9"/>
      <c r="F6" s="60"/>
    </row>
    <row r="7" spans="1:7" ht="15.75">
      <c r="A7" s="10"/>
      <c r="B7" s="11">
        <v>0</v>
      </c>
      <c r="C7" s="12">
        <f>(A7*B7)/365*90</f>
        <v>0</v>
      </c>
      <c r="D7" s="13">
        <v>0</v>
      </c>
      <c r="F7" s="61">
        <v>0</v>
      </c>
    </row>
    <row r="8" spans="1:7" ht="15.75">
      <c r="A8" s="10" t="s">
        <v>80</v>
      </c>
      <c r="B8" s="11"/>
      <c r="C8" s="12"/>
      <c r="D8" s="13"/>
      <c r="F8" s="61"/>
    </row>
    <row r="9" spans="1:7" ht="15.75">
      <c r="A9" s="10"/>
      <c r="B9" s="11">
        <v>0</v>
      </c>
      <c r="C9" s="12">
        <f>(A9*B9)/365*90</f>
        <v>0</v>
      </c>
      <c r="D9" s="13">
        <v>0</v>
      </c>
      <c r="F9" s="61">
        <v>0</v>
      </c>
    </row>
    <row r="10" spans="1:7" ht="15.75">
      <c r="A10" s="10" t="s">
        <v>81</v>
      </c>
      <c r="B10" s="11"/>
      <c r="C10" s="12"/>
      <c r="D10" s="13"/>
      <c r="F10" s="61"/>
    </row>
    <row r="11" spans="1:7" ht="15.75">
      <c r="A11" s="10"/>
      <c r="B11" s="11">
        <v>0</v>
      </c>
      <c r="C11" s="12">
        <f>(A11*B11)/365*90</f>
        <v>0</v>
      </c>
      <c r="D11" s="13">
        <v>0</v>
      </c>
      <c r="F11" s="61">
        <v>0</v>
      </c>
    </row>
    <row r="12" spans="1:7" ht="15.75">
      <c r="A12" s="10" t="s">
        <v>82</v>
      </c>
      <c r="B12" s="11"/>
      <c r="C12" s="12"/>
      <c r="D12" s="13"/>
      <c r="F12" s="61"/>
    </row>
    <row r="13" spans="1:7" ht="16.5" thickBot="1">
      <c r="A13" s="10">
        <f>'Zestawienie kredytów'!F25</f>
        <v>87229720.879999995</v>
      </c>
      <c r="B13" s="11">
        <v>0</v>
      </c>
      <c r="C13" s="14">
        <f>(A13*B13)/365*90</f>
        <v>0</v>
      </c>
      <c r="D13" s="13">
        <f>C13</f>
        <v>0</v>
      </c>
      <c r="F13" s="61">
        <f>E13</f>
        <v>0</v>
      </c>
    </row>
    <row r="14" spans="1:7" ht="15.75">
      <c r="A14" s="15"/>
      <c r="B14" s="16" t="s">
        <v>19</v>
      </c>
      <c r="C14" s="17">
        <f>SUM(C7:C13)</f>
        <v>0</v>
      </c>
      <c r="D14" s="18"/>
      <c r="F14" s="62"/>
    </row>
    <row r="15" spans="1:7" ht="15.75">
      <c r="A15" s="19"/>
      <c r="B15" s="20" t="s">
        <v>20</v>
      </c>
      <c r="C15" s="21">
        <f>0.09%*A13</f>
        <v>78506.748791999999</v>
      </c>
      <c r="D15" s="22"/>
      <c r="F15" s="63"/>
    </row>
    <row r="16" spans="1:7" ht="33.75" thickBot="1">
      <c r="A16" s="23"/>
      <c r="B16" s="24"/>
      <c r="C16" s="25" t="s">
        <v>78</v>
      </c>
      <c r="D16" s="26">
        <f>SUM(D7:D13)+C15</f>
        <v>78506.748791999999</v>
      </c>
      <c r="F16" s="64">
        <f>SUM(F7:F13)</f>
        <v>0</v>
      </c>
    </row>
    <row r="17" spans="1:6" ht="15" thickBot="1">
      <c r="A17" s="27"/>
      <c r="B17" s="27"/>
      <c r="C17" s="27"/>
      <c r="D17" s="27"/>
      <c r="F17" s="67"/>
    </row>
    <row r="18" spans="1:6" ht="39" thickBot="1">
      <c r="A18" s="3" t="s">
        <v>11</v>
      </c>
      <c r="B18" s="4" t="s">
        <v>12</v>
      </c>
      <c r="C18" s="4" t="s">
        <v>13</v>
      </c>
      <c r="D18" s="5" t="s">
        <v>14</v>
      </c>
      <c r="F18" s="59" t="s">
        <v>77</v>
      </c>
    </row>
    <row r="19" spans="1:6" ht="15.75">
      <c r="A19" s="6" t="s">
        <v>22</v>
      </c>
      <c r="B19" s="7"/>
      <c r="C19" s="8"/>
      <c r="D19" s="9"/>
      <c r="F19" s="60"/>
    </row>
    <row r="20" spans="1:6" ht="15.75">
      <c r="A20" s="10">
        <f>A13</f>
        <v>87229720.879999995</v>
      </c>
      <c r="B20" s="11">
        <v>5.8999999999999997E-2</v>
      </c>
      <c r="C20" s="12">
        <f>(A20*B20)/365*180</f>
        <v>2538026.399303013</v>
      </c>
      <c r="D20" s="13">
        <f>C20+A133</f>
        <v>4961102.2793030124</v>
      </c>
      <c r="F20" s="61">
        <f>A133</f>
        <v>2423075.88</v>
      </c>
    </row>
    <row r="21" spans="1:6" ht="15.75">
      <c r="A21" s="10" t="s">
        <v>23</v>
      </c>
      <c r="B21" s="11"/>
      <c r="C21" s="12"/>
      <c r="D21" s="13"/>
      <c r="F21" s="61"/>
    </row>
    <row r="22" spans="1:6" ht="15.75">
      <c r="A22" s="10">
        <f>A20-A133</f>
        <v>84806645</v>
      </c>
      <c r="B22" s="11">
        <v>5.8999999999999997E-2</v>
      </c>
      <c r="C22" s="12">
        <f>(A22*B22)/365*91</f>
        <v>1247470.8959041093</v>
      </c>
      <c r="D22" s="13">
        <f>C22+A132</f>
        <v>3670517.8959041093</v>
      </c>
      <c r="F22" s="61">
        <f>$A$132</f>
        <v>2423047</v>
      </c>
    </row>
    <row r="23" spans="1:6" ht="15.75">
      <c r="A23" s="10" t="s">
        <v>24</v>
      </c>
      <c r="B23" s="11"/>
      <c r="C23" s="12"/>
      <c r="D23" s="13"/>
      <c r="F23" s="61"/>
    </row>
    <row r="24" spans="1:6" ht="15.75">
      <c r="A24" s="10">
        <f>A22-A132</f>
        <v>82383598</v>
      </c>
      <c r="B24" s="11">
        <v>6.5000000000000002E-2</v>
      </c>
      <c r="C24" s="12">
        <f>(A24*B24)/365*92</f>
        <v>1349736.7562739726</v>
      </c>
      <c r="D24" s="13">
        <f>C24+A132</f>
        <v>3772783.7562739728</v>
      </c>
      <c r="F24" s="61">
        <f>$A$132</f>
        <v>2423047</v>
      </c>
    </row>
    <row r="25" spans="1:6" ht="15.75">
      <c r="A25" s="10" t="s">
        <v>25</v>
      </c>
      <c r="B25" s="11"/>
      <c r="C25" s="12"/>
      <c r="D25" s="13"/>
      <c r="F25" s="61"/>
    </row>
    <row r="26" spans="1:6" ht="16.5" thickBot="1">
      <c r="A26" s="10">
        <f>A24-A132</f>
        <v>79960551</v>
      </c>
      <c r="B26" s="11">
        <v>6.5000000000000002E-2</v>
      </c>
      <c r="C26" s="14">
        <f>(A26*B26)/365*92</f>
        <v>1310038.6163835616</v>
      </c>
      <c r="D26" s="13">
        <f>C26+A132</f>
        <v>3733085.6163835619</v>
      </c>
      <c r="F26" s="61">
        <f>$A$132</f>
        <v>2423047</v>
      </c>
    </row>
    <row r="27" spans="1:6" ht="15.75">
      <c r="A27" s="15"/>
      <c r="B27" s="16" t="s">
        <v>19</v>
      </c>
      <c r="C27" s="17">
        <f>SUM(C20:C26)</f>
        <v>6445272.667864657</v>
      </c>
      <c r="D27" s="18"/>
      <c r="F27" s="62"/>
    </row>
    <row r="28" spans="1:6" ht="33.75" thickBot="1">
      <c r="A28" s="23"/>
      <c r="B28" s="24"/>
      <c r="C28" s="25" t="s">
        <v>26</v>
      </c>
      <c r="D28" s="26">
        <f>SUM(D20:D26)</f>
        <v>16137489.547864655</v>
      </c>
      <c r="F28" s="64">
        <f>SUM(F20:F26)</f>
        <v>9692216.879999999</v>
      </c>
    </row>
    <row r="29" spans="1:6" ht="15" thickBot="1">
      <c r="A29" s="27"/>
      <c r="B29" s="28"/>
      <c r="C29" s="29"/>
      <c r="D29" s="27"/>
      <c r="F29" s="67"/>
    </row>
    <row r="30" spans="1:6" ht="39" thickBot="1">
      <c r="A30" s="3" t="s">
        <v>11</v>
      </c>
      <c r="B30" s="4" t="s">
        <v>12</v>
      </c>
      <c r="C30" s="4" t="s">
        <v>13</v>
      </c>
      <c r="D30" s="5" t="s">
        <v>14</v>
      </c>
      <c r="F30" s="59" t="s">
        <v>77</v>
      </c>
    </row>
    <row r="31" spans="1:6" ht="15.75">
      <c r="A31" s="6" t="s">
        <v>27</v>
      </c>
      <c r="B31" s="7"/>
      <c r="C31" s="8"/>
      <c r="D31" s="9"/>
      <c r="F31" s="60"/>
    </row>
    <row r="32" spans="1:6" ht="15.75">
      <c r="A32" s="10">
        <f>A26-A132</f>
        <v>77537504</v>
      </c>
      <c r="B32" s="11">
        <v>6.3E-2</v>
      </c>
      <c r="C32" s="12">
        <f>(A32*B32)/365*90</f>
        <v>1204486.7059726028</v>
      </c>
      <c r="D32" s="13">
        <f>C32+A132</f>
        <v>3627533.7059726026</v>
      </c>
      <c r="F32" s="61">
        <f>$A$132</f>
        <v>2423047</v>
      </c>
    </row>
    <row r="33" spans="1:6" ht="15.75">
      <c r="A33" s="10" t="s">
        <v>28</v>
      </c>
      <c r="B33" s="11"/>
      <c r="C33" s="12"/>
      <c r="D33" s="13"/>
      <c r="F33" s="61"/>
    </row>
    <row r="34" spans="1:6" ht="15.75">
      <c r="A34" s="10">
        <f>A32-A132</f>
        <v>75114457</v>
      </c>
      <c r="B34" s="11">
        <v>0.06</v>
      </c>
      <c r="C34" s="12">
        <f>(A34*B34)/365*91</f>
        <v>1123629.9595068493</v>
      </c>
      <c r="D34" s="13">
        <f>C34+A132</f>
        <v>3546676.9595068493</v>
      </c>
      <c r="F34" s="61">
        <f>$A$132</f>
        <v>2423047</v>
      </c>
    </row>
    <row r="35" spans="1:6" ht="15.75">
      <c r="A35" s="10" t="s">
        <v>29</v>
      </c>
      <c r="B35" s="11"/>
      <c r="C35" s="12"/>
      <c r="D35" s="13"/>
      <c r="F35" s="61"/>
    </row>
    <row r="36" spans="1:6" ht="15.75">
      <c r="A36" s="10">
        <f>A34-A132</f>
        <v>72691410</v>
      </c>
      <c r="B36" s="11">
        <v>0.06</v>
      </c>
      <c r="C36" s="12">
        <f>(A36*B36)/365*92</f>
        <v>1099333.1046575343</v>
      </c>
      <c r="D36" s="13">
        <f>C36+A132</f>
        <v>3522380.1046575345</v>
      </c>
      <c r="F36" s="61">
        <f>$A$132</f>
        <v>2423047</v>
      </c>
    </row>
    <row r="37" spans="1:6" ht="15.75">
      <c r="A37" s="10" t="s">
        <v>30</v>
      </c>
      <c r="B37" s="11"/>
      <c r="C37" s="12"/>
      <c r="D37" s="13"/>
      <c r="F37" s="61"/>
    </row>
    <row r="38" spans="1:6" ht="16.5" thickBot="1">
      <c r="A38" s="10">
        <f>A36-A132</f>
        <v>70268363</v>
      </c>
      <c r="B38" s="11">
        <v>0.06</v>
      </c>
      <c r="C38" s="14">
        <f>(A38*B38)/365*92</f>
        <v>1062688.6678356165</v>
      </c>
      <c r="D38" s="13">
        <f>C38+A132</f>
        <v>3485735.6678356165</v>
      </c>
      <c r="F38" s="61">
        <f>$A$132</f>
        <v>2423047</v>
      </c>
    </row>
    <row r="39" spans="1:6" ht="15.75">
      <c r="A39" s="15"/>
      <c r="B39" s="16" t="s">
        <v>19</v>
      </c>
      <c r="C39" s="17">
        <f>SUM(C32:C38)</f>
        <v>4490138.4379726034</v>
      </c>
      <c r="D39" s="18"/>
      <c r="F39" s="62"/>
    </row>
    <row r="40" spans="1:6" ht="33.75" thickBot="1">
      <c r="A40" s="30"/>
      <c r="B40" s="31"/>
      <c r="C40" s="32" t="s">
        <v>31</v>
      </c>
      <c r="D40" s="33">
        <f>SUM(D32:D38)</f>
        <v>14182326.437972602</v>
      </c>
      <c r="F40" s="66">
        <f>SUM(F32:F38)</f>
        <v>9692188</v>
      </c>
    </row>
    <row r="41" spans="1:6" ht="17.25" thickBot="1">
      <c r="A41" s="34"/>
      <c r="B41" s="35"/>
      <c r="C41" s="36"/>
      <c r="D41" s="37"/>
      <c r="F41" s="37"/>
    </row>
    <row r="42" spans="1:6" ht="39" thickBot="1">
      <c r="A42" s="38" t="s">
        <v>11</v>
      </c>
      <c r="B42" s="39" t="s">
        <v>12</v>
      </c>
      <c r="C42" s="39" t="s">
        <v>13</v>
      </c>
      <c r="D42" s="40" t="s">
        <v>14</v>
      </c>
      <c r="F42" s="59" t="s">
        <v>77</v>
      </c>
    </row>
    <row r="43" spans="1:6" ht="15.75">
      <c r="A43" s="6" t="s">
        <v>32</v>
      </c>
      <c r="B43" s="7"/>
      <c r="C43" s="8"/>
      <c r="D43" s="9"/>
      <c r="F43" s="60"/>
    </row>
    <row r="44" spans="1:6" ht="15.75">
      <c r="A44" s="10">
        <f>A38-A132</f>
        <v>67845316</v>
      </c>
      <c r="B44" s="11">
        <v>5.5E-2</v>
      </c>
      <c r="C44" s="12">
        <f>(A44*B44)/365*90</f>
        <v>920094.01150684932</v>
      </c>
      <c r="D44" s="13">
        <f>C44+A132</f>
        <v>3343141.0115068494</v>
      </c>
      <c r="F44" s="61">
        <f>$A$132</f>
        <v>2423047</v>
      </c>
    </row>
    <row r="45" spans="1:6" ht="15.75">
      <c r="A45" s="10" t="s">
        <v>33</v>
      </c>
      <c r="B45" s="11"/>
      <c r="C45" s="12"/>
      <c r="D45" s="13"/>
      <c r="F45" s="61"/>
    </row>
    <row r="46" spans="1:6" ht="15.75">
      <c r="A46" s="10">
        <f>A44-A132</f>
        <v>65422269</v>
      </c>
      <c r="B46" s="11">
        <v>5.5E-2</v>
      </c>
      <c r="C46" s="12">
        <f>(A46*B46)/365*91</f>
        <v>897091.661219178</v>
      </c>
      <c r="D46" s="13">
        <f>C46+A132</f>
        <v>3320138.6612191778</v>
      </c>
      <c r="F46" s="61">
        <f>$A$132</f>
        <v>2423047</v>
      </c>
    </row>
    <row r="47" spans="1:6" ht="15.75">
      <c r="A47" s="10" t="s">
        <v>34</v>
      </c>
      <c r="B47" s="11"/>
      <c r="C47" s="12"/>
      <c r="D47" s="13"/>
      <c r="F47" s="61"/>
    </row>
    <row r="48" spans="1:6" ht="15.75">
      <c r="A48" s="10">
        <f>A46-A132</f>
        <v>62999222</v>
      </c>
      <c r="B48" s="11">
        <v>5.5E-2</v>
      </c>
      <c r="C48" s="12">
        <f>(A48*B48)/365*92</f>
        <v>873359.07758904109</v>
      </c>
      <c r="D48" s="13">
        <f>C48+A132</f>
        <v>3296406.0775890411</v>
      </c>
      <c r="F48" s="61">
        <f>$A$132</f>
        <v>2423047</v>
      </c>
    </row>
    <row r="49" spans="1:6" ht="15.75">
      <c r="A49" s="10" t="s">
        <v>35</v>
      </c>
      <c r="B49" s="11"/>
      <c r="C49" s="12"/>
      <c r="D49" s="13"/>
      <c r="F49" s="61"/>
    </row>
    <row r="50" spans="1:6" ht="16.5" thickBot="1">
      <c r="A50" s="10">
        <f>A48-A132</f>
        <v>60576175</v>
      </c>
      <c r="B50" s="11">
        <v>5.5E-2</v>
      </c>
      <c r="C50" s="14">
        <f>(A50*B50)/365*92</f>
        <v>839768.34383561637</v>
      </c>
      <c r="D50" s="13">
        <f>C50+A132</f>
        <v>3262815.3438356165</v>
      </c>
      <c r="F50" s="61">
        <f>$A$132</f>
        <v>2423047</v>
      </c>
    </row>
    <row r="51" spans="1:6" ht="15.75">
      <c r="A51" s="15"/>
      <c r="B51" s="16" t="s">
        <v>19</v>
      </c>
      <c r="C51" s="17">
        <f>SUM(C44:C50)</f>
        <v>3530313.0941506848</v>
      </c>
      <c r="D51" s="18"/>
      <c r="F51" s="62"/>
    </row>
    <row r="52" spans="1:6" ht="33.75" thickBot="1">
      <c r="A52" s="23"/>
      <c r="B52" s="24"/>
      <c r="C52" s="25" t="s">
        <v>36</v>
      </c>
      <c r="D52" s="26">
        <f>SUM(D44:D50)</f>
        <v>13222501.094150685</v>
      </c>
      <c r="F52" s="64">
        <f>SUM(F44:F50)</f>
        <v>9692188</v>
      </c>
    </row>
    <row r="53" spans="1:6" ht="17.25" thickBot="1">
      <c r="A53" s="41"/>
      <c r="B53" s="42"/>
      <c r="C53" s="43"/>
      <c r="D53" s="44"/>
      <c r="F53" s="37"/>
    </row>
    <row r="54" spans="1:6" ht="39" thickBot="1">
      <c r="A54" s="45" t="s">
        <v>11</v>
      </c>
      <c r="B54" s="46" t="s">
        <v>12</v>
      </c>
      <c r="C54" s="46" t="s">
        <v>13</v>
      </c>
      <c r="D54" s="47" t="s">
        <v>14</v>
      </c>
      <c r="F54" s="59" t="s">
        <v>77</v>
      </c>
    </row>
    <row r="55" spans="1:6" ht="15.75">
      <c r="A55" s="6" t="s">
        <v>37</v>
      </c>
      <c r="B55" s="7"/>
      <c r="C55" s="8"/>
      <c r="D55" s="9"/>
      <c r="F55" s="60"/>
    </row>
    <row r="56" spans="1:6" ht="15.75">
      <c r="A56" s="10">
        <f>A50-A132</f>
        <v>58153128</v>
      </c>
      <c r="B56" s="11">
        <v>0.05</v>
      </c>
      <c r="C56" s="12">
        <f>(A56*B56)/365*90</f>
        <v>716956.37260273984</v>
      </c>
      <c r="D56" s="13">
        <f>C56+A132</f>
        <v>3140003.3726027398</v>
      </c>
      <c r="F56" s="61">
        <f>$A$132</f>
        <v>2423047</v>
      </c>
    </row>
    <row r="57" spans="1:6" ht="15.75">
      <c r="A57" s="10" t="s">
        <v>38</v>
      </c>
      <c r="B57" s="11"/>
      <c r="C57" s="12"/>
      <c r="D57" s="13"/>
      <c r="F57" s="61"/>
    </row>
    <row r="58" spans="1:6" ht="15.75">
      <c r="A58" s="10">
        <f>A56-A132</f>
        <v>55730081</v>
      </c>
      <c r="B58" s="11">
        <v>0.05</v>
      </c>
      <c r="C58" s="12">
        <f>(A58*B58)/365*91</f>
        <v>694717.44808219187</v>
      </c>
      <c r="D58" s="13">
        <f>C58+A132</f>
        <v>3117764.4480821919</v>
      </c>
      <c r="F58" s="61">
        <f>$A$132</f>
        <v>2423047</v>
      </c>
    </row>
    <row r="59" spans="1:6" ht="15.75">
      <c r="A59" s="10" t="s">
        <v>39</v>
      </c>
      <c r="B59" s="11"/>
      <c r="C59" s="12"/>
      <c r="D59" s="13"/>
      <c r="F59" s="61"/>
    </row>
    <row r="60" spans="1:6" ht="15.75">
      <c r="A60" s="10">
        <f>A58-A132</f>
        <v>53307034</v>
      </c>
      <c r="B60" s="11">
        <v>0.05</v>
      </c>
      <c r="C60" s="12">
        <f>(A60*B60)/365*92</f>
        <v>671814.67506849323</v>
      </c>
      <c r="D60" s="13">
        <f>C60+A132</f>
        <v>3094861.675068493</v>
      </c>
      <c r="F60" s="61">
        <f>$A$132</f>
        <v>2423047</v>
      </c>
    </row>
    <row r="61" spans="1:6" ht="15.75">
      <c r="A61" s="10" t="s">
        <v>40</v>
      </c>
      <c r="B61" s="11"/>
      <c r="C61" s="12"/>
      <c r="D61" s="13"/>
      <c r="F61" s="61"/>
    </row>
    <row r="62" spans="1:6" ht="16.5" thickBot="1">
      <c r="A62" s="10">
        <f>A60-A132</f>
        <v>50883987</v>
      </c>
      <c r="B62" s="11">
        <v>0.05</v>
      </c>
      <c r="C62" s="14">
        <f>(A62*B62)/365*92</f>
        <v>641277.64438356168</v>
      </c>
      <c r="D62" s="13">
        <f>C62+A132</f>
        <v>3064324.6443835618</v>
      </c>
      <c r="F62" s="61">
        <f>$A$132</f>
        <v>2423047</v>
      </c>
    </row>
    <row r="63" spans="1:6" ht="15.75">
      <c r="A63" s="15"/>
      <c r="B63" s="16" t="s">
        <v>19</v>
      </c>
      <c r="C63" s="17">
        <f>SUM(C56:C62)</f>
        <v>2724766.1401369865</v>
      </c>
      <c r="D63" s="18"/>
      <c r="F63" s="62"/>
    </row>
    <row r="64" spans="1:6" ht="33.75" thickBot="1">
      <c r="A64" s="23"/>
      <c r="B64" s="24"/>
      <c r="C64" s="25" t="s">
        <v>41</v>
      </c>
      <c r="D64" s="26">
        <f>SUM(D56:D62)</f>
        <v>12416954.140136987</v>
      </c>
      <c r="F64" s="64">
        <f>SUM(F56:F62)</f>
        <v>9692188</v>
      </c>
    </row>
    <row r="65" spans="1:6" ht="17.25" thickBot="1">
      <c r="A65" s="41"/>
      <c r="B65" s="42"/>
      <c r="C65" s="43"/>
      <c r="D65" s="44"/>
      <c r="F65" s="37"/>
    </row>
    <row r="66" spans="1:6" ht="39" thickBot="1">
      <c r="A66" s="45" t="s">
        <v>11</v>
      </c>
      <c r="B66" s="46" t="s">
        <v>12</v>
      </c>
      <c r="C66" s="46" t="s">
        <v>13</v>
      </c>
      <c r="D66" s="47" t="s">
        <v>14</v>
      </c>
      <c r="F66" s="59" t="s">
        <v>77</v>
      </c>
    </row>
    <row r="67" spans="1:6" ht="15.75">
      <c r="A67" s="6" t="s">
        <v>42</v>
      </c>
      <c r="B67" s="7"/>
      <c r="C67" s="8"/>
      <c r="D67" s="9"/>
      <c r="F67" s="60"/>
    </row>
    <row r="68" spans="1:6" ht="15.75">
      <c r="A68" s="10">
        <f>A62-A132</f>
        <v>48460940</v>
      </c>
      <c r="B68" s="11">
        <v>5.2999999999999999E-2</v>
      </c>
      <c r="C68" s="12">
        <f>(A68*B68)/365*91</f>
        <v>640348.25649315061</v>
      </c>
      <c r="D68" s="13">
        <f>C68+A132</f>
        <v>3063395.2564931507</v>
      </c>
      <c r="F68" s="61">
        <f>$A$132</f>
        <v>2423047</v>
      </c>
    </row>
    <row r="69" spans="1:6" ht="15.75">
      <c r="A69" s="10" t="s">
        <v>43</v>
      </c>
      <c r="B69" s="11"/>
      <c r="C69" s="12"/>
      <c r="D69" s="13"/>
      <c r="F69" s="61"/>
    </row>
    <row r="70" spans="1:6" ht="15.75">
      <c r="A70" s="10">
        <f>A68-A132</f>
        <v>46037893</v>
      </c>
      <c r="B70" s="11">
        <v>5.2999999999999999E-2</v>
      </c>
      <c r="C70" s="12">
        <f>(A70*B70)/365*91</f>
        <v>608330.84366849309</v>
      </c>
      <c r="D70" s="13">
        <f>C70+A132</f>
        <v>3031377.843668493</v>
      </c>
      <c r="F70" s="61">
        <f>$A$132</f>
        <v>2423047</v>
      </c>
    </row>
    <row r="71" spans="1:6" ht="15.75">
      <c r="A71" s="10" t="s">
        <v>44</v>
      </c>
      <c r="B71" s="11"/>
      <c r="C71" s="12"/>
      <c r="D71" s="13"/>
      <c r="F71" s="61"/>
    </row>
    <row r="72" spans="1:6" ht="15.75">
      <c r="A72" s="10">
        <f>A70-A132</f>
        <v>43614846</v>
      </c>
      <c r="B72" s="11">
        <v>5.2999999999999999E-2</v>
      </c>
      <c r="C72" s="12">
        <f>(A72*B72)/365*92</f>
        <v>582646.54546849313</v>
      </c>
      <c r="D72" s="13">
        <f>C72+A132</f>
        <v>3005693.5454684934</v>
      </c>
      <c r="F72" s="61">
        <f>$A$132</f>
        <v>2423047</v>
      </c>
    </row>
    <row r="73" spans="1:6" ht="15.75">
      <c r="A73" s="10" t="s">
        <v>45</v>
      </c>
      <c r="B73" s="11"/>
      <c r="C73" s="12"/>
      <c r="D73" s="13"/>
      <c r="F73" s="61"/>
    </row>
    <row r="74" spans="1:6" ht="16.5" thickBot="1">
      <c r="A74" s="10">
        <f>A72-A132</f>
        <v>41191799</v>
      </c>
      <c r="B74" s="11">
        <v>5.2999999999999999E-2</v>
      </c>
      <c r="C74" s="14">
        <f>(A74*B74)/365*92</f>
        <v>550277.29294246575</v>
      </c>
      <c r="D74" s="13">
        <f>C74+A132</f>
        <v>2973324.2929424657</v>
      </c>
      <c r="F74" s="61">
        <f>$A$132</f>
        <v>2423047</v>
      </c>
    </row>
    <row r="75" spans="1:6" ht="15.75">
      <c r="A75" s="15"/>
      <c r="B75" s="16" t="s">
        <v>19</v>
      </c>
      <c r="C75" s="17">
        <f>SUM(C68:C74)</f>
        <v>2381602.9385726023</v>
      </c>
      <c r="D75" s="18"/>
      <c r="F75" s="62"/>
    </row>
    <row r="76" spans="1:6" ht="33.75" thickBot="1">
      <c r="A76" s="23"/>
      <c r="B76" s="24"/>
      <c r="C76" s="25" t="s">
        <v>46</v>
      </c>
      <c r="D76" s="26">
        <f>SUM(D68:D74)</f>
        <v>12073790.938572602</v>
      </c>
      <c r="F76" s="64">
        <f>SUM(F68:F74)</f>
        <v>9692188</v>
      </c>
    </row>
    <row r="77" spans="1:6" ht="17.25" thickBot="1">
      <c r="A77" s="41"/>
      <c r="B77" s="42"/>
      <c r="C77" s="43"/>
      <c r="D77" s="44"/>
      <c r="F77" s="37"/>
    </row>
    <row r="78" spans="1:6" ht="39" thickBot="1">
      <c r="A78" s="45" t="s">
        <v>11</v>
      </c>
      <c r="B78" s="46" t="s">
        <v>12</v>
      </c>
      <c r="C78" s="46" t="s">
        <v>13</v>
      </c>
      <c r="D78" s="47" t="s">
        <v>14</v>
      </c>
      <c r="F78" s="59" t="s">
        <v>77</v>
      </c>
    </row>
    <row r="79" spans="1:6" ht="15.75">
      <c r="A79" s="6" t="s">
        <v>47</v>
      </c>
      <c r="B79" s="7"/>
      <c r="C79" s="8"/>
      <c r="D79" s="9"/>
      <c r="F79" s="60"/>
    </row>
    <row r="80" spans="1:6" ht="15.75">
      <c r="A80" s="10">
        <f>A74-A132</f>
        <v>38768752</v>
      </c>
      <c r="B80" s="11">
        <v>5.5E-2</v>
      </c>
      <c r="C80" s="12">
        <f>(A80*B80)/365*90</f>
        <v>525768.00657534238</v>
      </c>
      <c r="D80" s="13">
        <f>C80+A132</f>
        <v>2948815.0065753423</v>
      </c>
      <c r="F80" s="61">
        <f>$A$132</f>
        <v>2423047</v>
      </c>
    </row>
    <row r="81" spans="1:6" ht="15.75">
      <c r="A81" s="10" t="s">
        <v>48</v>
      </c>
      <c r="B81" s="11"/>
      <c r="C81" s="12"/>
      <c r="D81" s="13"/>
      <c r="F81" s="61"/>
    </row>
    <row r="82" spans="1:6" ht="15.75">
      <c r="A82" s="10">
        <f>A80-A132</f>
        <v>36345705</v>
      </c>
      <c r="B82" s="11">
        <v>5.5E-2</v>
      </c>
      <c r="C82" s="12">
        <f>(A82*B82)/365*91</f>
        <v>498384.25623287668</v>
      </c>
      <c r="D82" s="13">
        <f>C82+A132</f>
        <v>2921431.2562328768</v>
      </c>
      <c r="F82" s="61">
        <f>$A$132</f>
        <v>2423047</v>
      </c>
    </row>
    <row r="83" spans="1:6" ht="15.75">
      <c r="A83" s="10" t="s">
        <v>49</v>
      </c>
      <c r="B83" s="11"/>
      <c r="C83" s="12"/>
      <c r="D83" s="13"/>
      <c r="F83" s="61"/>
    </row>
    <row r="84" spans="1:6" ht="15.75">
      <c r="A84" s="10">
        <f>A82-A132</f>
        <v>33922658</v>
      </c>
      <c r="B84" s="11">
        <v>5.5E-2</v>
      </c>
      <c r="C84" s="12">
        <f>(A84*B84)/365*92</f>
        <v>470270.27254794521</v>
      </c>
      <c r="D84" s="13">
        <f>C84+A132</f>
        <v>2893317.2725479454</v>
      </c>
      <c r="F84" s="61">
        <f>$A$132</f>
        <v>2423047</v>
      </c>
    </row>
    <row r="85" spans="1:6" ht="15.75">
      <c r="A85" s="10" t="s">
        <v>50</v>
      </c>
      <c r="B85" s="11"/>
      <c r="C85" s="12"/>
      <c r="D85" s="13"/>
      <c r="F85" s="61"/>
    </row>
    <row r="86" spans="1:6" ht="16.5" thickBot="1">
      <c r="A86" s="10">
        <f>A84-A132</f>
        <v>31499611</v>
      </c>
      <c r="B86" s="11">
        <v>5.5E-2</v>
      </c>
      <c r="C86" s="14">
        <f>(A86*B86)/365*92</f>
        <v>436679.53879452054</v>
      </c>
      <c r="D86" s="13">
        <f>C86+A132</f>
        <v>2859726.5387945203</v>
      </c>
      <c r="F86" s="61">
        <f>$A$132</f>
        <v>2423047</v>
      </c>
    </row>
    <row r="87" spans="1:6" ht="15.75">
      <c r="A87" s="15"/>
      <c r="B87" s="16" t="s">
        <v>19</v>
      </c>
      <c r="C87" s="17">
        <f>SUM(C80:C86)</f>
        <v>1931102.0741506848</v>
      </c>
      <c r="D87" s="18"/>
      <c r="F87" s="62"/>
    </row>
    <row r="88" spans="1:6" ht="33.75" thickBot="1">
      <c r="A88" s="23"/>
      <c r="B88" s="24"/>
      <c r="C88" s="25" t="s">
        <v>51</v>
      </c>
      <c r="D88" s="26">
        <f>SUM(D80:D86)</f>
        <v>11623290.074150685</v>
      </c>
      <c r="F88" s="64">
        <f>SUM(F80:F86)</f>
        <v>9692188</v>
      </c>
    </row>
    <row r="89" spans="1:6" ht="17.25" thickBot="1">
      <c r="A89" s="41"/>
      <c r="B89" s="42"/>
      <c r="C89" s="43"/>
      <c r="D89" s="44"/>
      <c r="F89" s="37"/>
    </row>
    <row r="90" spans="1:6" ht="39" thickBot="1">
      <c r="A90" s="45" t="s">
        <v>11</v>
      </c>
      <c r="B90" s="46" t="s">
        <v>12</v>
      </c>
      <c r="C90" s="46" t="s">
        <v>13</v>
      </c>
      <c r="D90" s="47" t="s">
        <v>14</v>
      </c>
      <c r="F90" s="59" t="s">
        <v>77</v>
      </c>
    </row>
    <row r="91" spans="1:6" ht="15.75">
      <c r="A91" s="6" t="s">
        <v>52</v>
      </c>
      <c r="B91" s="7"/>
      <c r="C91" s="8"/>
      <c r="D91" s="9"/>
      <c r="F91" s="60"/>
    </row>
    <row r="92" spans="1:6" ht="15.75">
      <c r="A92" s="10">
        <f>A86-A132</f>
        <v>29076564</v>
      </c>
      <c r="B92" s="11">
        <v>5.2999999999999999E-2</v>
      </c>
      <c r="C92" s="12">
        <f>(A92*B92)/365*90</f>
        <v>379986.87747945206</v>
      </c>
      <c r="D92" s="13">
        <f>C92+A132</f>
        <v>2803033.8774794522</v>
      </c>
      <c r="F92" s="61">
        <f>$A$132</f>
        <v>2423047</v>
      </c>
    </row>
    <row r="93" spans="1:6" ht="15.75">
      <c r="A93" s="10" t="s">
        <v>53</v>
      </c>
      <c r="B93" s="11"/>
      <c r="C93" s="12"/>
      <c r="D93" s="13"/>
      <c r="F93" s="61"/>
    </row>
    <row r="94" spans="1:6" ht="15.75">
      <c r="A94" s="10">
        <f>A92-A132</f>
        <v>26653517</v>
      </c>
      <c r="B94" s="11">
        <v>5.2999999999999999E-2</v>
      </c>
      <c r="C94" s="12">
        <f>(A94*B94)/365*91</f>
        <v>352191.54107123287</v>
      </c>
      <c r="D94" s="13">
        <f>C94+A132</f>
        <v>2775238.5410712329</v>
      </c>
      <c r="F94" s="61">
        <f>$A$132</f>
        <v>2423047</v>
      </c>
    </row>
    <row r="95" spans="1:6" ht="15.75">
      <c r="A95" s="10" t="s">
        <v>54</v>
      </c>
      <c r="B95" s="11"/>
      <c r="C95" s="12"/>
      <c r="D95" s="13"/>
      <c r="F95" s="61"/>
    </row>
    <row r="96" spans="1:6" ht="15.75">
      <c r="A96" s="10">
        <f>A94-A132</f>
        <v>24230470</v>
      </c>
      <c r="B96" s="11">
        <v>5.2999999999999999E-2</v>
      </c>
      <c r="C96" s="12">
        <f>(A96*B96)/365*92</f>
        <v>323692.52526027395</v>
      </c>
      <c r="D96" s="13">
        <f>C96+A132</f>
        <v>2746739.5252602738</v>
      </c>
      <c r="F96" s="61">
        <f>$A$132</f>
        <v>2423047</v>
      </c>
    </row>
    <row r="97" spans="1:6" ht="15.75">
      <c r="A97" s="10" t="s">
        <v>55</v>
      </c>
      <c r="B97" s="11"/>
      <c r="C97" s="12"/>
      <c r="D97" s="13"/>
      <c r="F97" s="61"/>
    </row>
    <row r="98" spans="1:6" ht="16.5" thickBot="1">
      <c r="A98" s="10">
        <f>A96-A132</f>
        <v>21807423</v>
      </c>
      <c r="B98" s="11">
        <v>5.2999999999999999E-2</v>
      </c>
      <c r="C98" s="14">
        <f>(A98*B98)/365*92</f>
        <v>291323.27273424657</v>
      </c>
      <c r="D98" s="13">
        <f>C98+A132</f>
        <v>2714370.2727342467</v>
      </c>
      <c r="F98" s="61">
        <f>$A$132</f>
        <v>2423047</v>
      </c>
    </row>
    <row r="99" spans="1:6" ht="15.75">
      <c r="A99" s="15"/>
      <c r="B99" s="16" t="s">
        <v>19</v>
      </c>
      <c r="C99" s="17">
        <f>SUM(C92:C98)</f>
        <v>1347194.2165452056</v>
      </c>
      <c r="D99" s="18"/>
      <c r="F99" s="62"/>
    </row>
    <row r="100" spans="1:6" ht="33.75" thickBot="1">
      <c r="A100" s="23"/>
      <c r="B100" s="24"/>
      <c r="C100" s="25" t="s">
        <v>56</v>
      </c>
      <c r="D100" s="26">
        <f>SUM(D92:D98)</f>
        <v>11039382.216545206</v>
      </c>
      <c r="F100" s="64">
        <f>SUM(F92:F98)</f>
        <v>9692188</v>
      </c>
    </row>
    <row r="101" spans="1:6" ht="17.25" thickBot="1">
      <c r="A101" s="41"/>
      <c r="B101" s="42"/>
      <c r="C101" s="43"/>
      <c r="D101" s="44"/>
      <c r="F101" s="37"/>
    </row>
    <row r="102" spans="1:6" ht="39" thickBot="1">
      <c r="A102" s="45" t="s">
        <v>11</v>
      </c>
      <c r="B102" s="46" t="s">
        <v>12</v>
      </c>
      <c r="C102" s="46" t="s">
        <v>13</v>
      </c>
      <c r="D102" s="47" t="s">
        <v>14</v>
      </c>
      <c r="F102" s="59" t="s">
        <v>77</v>
      </c>
    </row>
    <row r="103" spans="1:6" ht="15.75">
      <c r="A103" s="6" t="s">
        <v>57</v>
      </c>
      <c r="B103" s="7"/>
      <c r="C103" s="8"/>
      <c r="D103" s="9"/>
      <c r="F103" s="60"/>
    </row>
    <row r="104" spans="1:6" ht="15.75">
      <c r="A104" s="10">
        <f>A98-A132</f>
        <v>19384376</v>
      </c>
      <c r="B104" s="11">
        <v>0.05</v>
      </c>
      <c r="C104" s="12">
        <f>(A104*B104)/365*90</f>
        <v>238985.45753424658</v>
      </c>
      <c r="D104" s="13">
        <f>C104+A132</f>
        <v>2662032.4575342466</v>
      </c>
      <c r="F104" s="61">
        <f>$A$132</f>
        <v>2423047</v>
      </c>
    </row>
    <row r="105" spans="1:6" ht="15.75">
      <c r="A105" s="10" t="s">
        <v>58</v>
      </c>
      <c r="B105" s="11"/>
      <c r="C105" s="12"/>
      <c r="D105" s="13"/>
      <c r="F105" s="61"/>
    </row>
    <row r="106" spans="1:6" ht="15.75">
      <c r="A106" s="10">
        <f>A104-A132</f>
        <v>16961329</v>
      </c>
      <c r="B106" s="11">
        <v>0.05</v>
      </c>
      <c r="C106" s="12">
        <f>(A106*B106)/365*91</f>
        <v>211435.74506849315</v>
      </c>
      <c r="D106" s="13">
        <f>C106+A132</f>
        <v>2634482.7450684933</v>
      </c>
      <c r="F106" s="61">
        <f>$A$132</f>
        <v>2423047</v>
      </c>
    </row>
    <row r="107" spans="1:6" ht="15.75">
      <c r="A107" s="10" t="s">
        <v>59</v>
      </c>
      <c r="B107" s="11"/>
      <c r="C107" s="12"/>
      <c r="D107" s="13"/>
      <c r="F107" s="61"/>
    </row>
    <row r="108" spans="1:6" ht="15.75">
      <c r="A108" s="10">
        <f>A106-A132</f>
        <v>14538282</v>
      </c>
      <c r="B108" s="11">
        <v>0.05</v>
      </c>
      <c r="C108" s="12">
        <f>(A108*B108)/365*92</f>
        <v>183222.18410958908</v>
      </c>
      <c r="D108" s="13">
        <f>C108+A132</f>
        <v>2606269.1841095891</v>
      </c>
      <c r="F108" s="61">
        <f>$A$132</f>
        <v>2423047</v>
      </c>
    </row>
    <row r="109" spans="1:6" ht="15.75">
      <c r="A109" s="10" t="s">
        <v>60</v>
      </c>
      <c r="B109" s="11"/>
      <c r="C109" s="12"/>
      <c r="D109" s="13"/>
      <c r="F109" s="61"/>
    </row>
    <row r="110" spans="1:6" ht="16.5" thickBot="1">
      <c r="A110" s="10">
        <f>A108-A132</f>
        <v>12115235</v>
      </c>
      <c r="B110" s="11">
        <v>0.05</v>
      </c>
      <c r="C110" s="14">
        <f>(A110*B110)/365*92</f>
        <v>152685.15342465753</v>
      </c>
      <c r="D110" s="13">
        <f>C110+A132</f>
        <v>2575732.1534246574</v>
      </c>
      <c r="F110" s="61">
        <f>$A$132</f>
        <v>2423047</v>
      </c>
    </row>
    <row r="111" spans="1:6" ht="15.75">
      <c r="A111" s="15"/>
      <c r="B111" s="16" t="s">
        <v>19</v>
      </c>
      <c r="C111" s="17">
        <f>SUM(C104:C110)</f>
        <v>786328.5401369863</v>
      </c>
      <c r="D111" s="18"/>
      <c r="F111" s="62"/>
    </row>
    <row r="112" spans="1:6" ht="33.75" thickBot="1">
      <c r="A112" s="23"/>
      <c r="B112" s="24"/>
      <c r="C112" s="25" t="s">
        <v>61</v>
      </c>
      <c r="D112" s="26">
        <f>SUM(D104:D110)</f>
        <v>10478516.540136987</v>
      </c>
      <c r="F112" s="64">
        <f>SUM(F104:F110)</f>
        <v>9692188</v>
      </c>
    </row>
    <row r="113" spans="1:6" ht="17.25" thickBot="1">
      <c r="A113" s="41"/>
      <c r="B113" s="42"/>
      <c r="C113" s="43"/>
      <c r="D113" s="44"/>
      <c r="F113" s="37"/>
    </row>
    <row r="114" spans="1:6" ht="39" thickBot="1">
      <c r="A114" s="45" t="s">
        <v>11</v>
      </c>
      <c r="B114" s="46" t="s">
        <v>12</v>
      </c>
      <c r="C114" s="46" t="s">
        <v>13</v>
      </c>
      <c r="D114" s="47" t="s">
        <v>14</v>
      </c>
      <c r="F114" s="59" t="s">
        <v>77</v>
      </c>
    </row>
    <row r="115" spans="1:6" ht="15.75">
      <c r="A115" s="6" t="s">
        <v>62</v>
      </c>
      <c r="B115" s="7"/>
      <c r="C115" s="8"/>
      <c r="D115" s="9"/>
      <c r="F115" s="60"/>
    </row>
    <row r="116" spans="1:6" ht="15.75">
      <c r="A116" s="10">
        <f>A110-A132</f>
        <v>9692188</v>
      </c>
      <c r="B116" s="11">
        <v>0.05</v>
      </c>
      <c r="C116" s="12">
        <f>(A116*B116)/365*91</f>
        <v>120820.42575342466</v>
      </c>
      <c r="D116" s="13">
        <f>C116+A132</f>
        <v>2543867.4257534249</v>
      </c>
      <c r="F116" s="61">
        <f>$A$132</f>
        <v>2423047</v>
      </c>
    </row>
    <row r="117" spans="1:6" ht="15.75">
      <c r="A117" s="10" t="s">
        <v>63</v>
      </c>
      <c r="B117" s="11"/>
      <c r="C117" s="12"/>
      <c r="D117" s="13"/>
      <c r="F117" s="61"/>
    </row>
    <row r="118" spans="1:6" ht="15.75">
      <c r="A118" s="10">
        <f>A116-A132</f>
        <v>7269141</v>
      </c>
      <c r="B118" s="11">
        <v>0.05</v>
      </c>
      <c r="C118" s="12">
        <f>(A118*B118)/365*91</f>
        <v>90615.319315068511</v>
      </c>
      <c r="D118" s="13">
        <f>C118+A132</f>
        <v>2513662.3193150684</v>
      </c>
      <c r="F118" s="61">
        <f>$A$132</f>
        <v>2423047</v>
      </c>
    </row>
    <row r="119" spans="1:6" ht="15.75">
      <c r="A119" s="10" t="s">
        <v>64</v>
      </c>
      <c r="B119" s="11"/>
      <c r="C119" s="12"/>
      <c r="D119" s="13"/>
      <c r="F119" s="61"/>
    </row>
    <row r="120" spans="1:6" ht="15.75">
      <c r="A120" s="10">
        <f>A118-A132</f>
        <v>4846094</v>
      </c>
      <c r="B120" s="11">
        <v>0.05</v>
      </c>
      <c r="C120" s="12">
        <f>(A120*B120)/365*92</f>
        <v>61074.061369863011</v>
      </c>
      <c r="D120" s="13">
        <f>C120+A132</f>
        <v>2484121.0613698629</v>
      </c>
      <c r="F120" s="61">
        <f>$A$132</f>
        <v>2423047</v>
      </c>
    </row>
    <row r="121" spans="1:6" ht="15.75">
      <c r="A121" s="10" t="s">
        <v>65</v>
      </c>
      <c r="B121" s="11"/>
      <c r="C121" s="12"/>
      <c r="D121" s="13"/>
      <c r="F121" s="61"/>
    </row>
    <row r="122" spans="1:6" ht="16.5" thickBot="1">
      <c r="A122" s="10">
        <f>A120-A132</f>
        <v>2423047</v>
      </c>
      <c r="B122" s="11">
        <v>0.05</v>
      </c>
      <c r="C122" s="14">
        <f>(A122*B122)/365*92</f>
        <v>30537.030684931506</v>
      </c>
      <c r="D122" s="13">
        <f>C122+A132</f>
        <v>2453584.0306849317</v>
      </c>
      <c r="F122" s="61">
        <f>$A$132</f>
        <v>2423047</v>
      </c>
    </row>
    <row r="123" spans="1:6" ht="15.75">
      <c r="A123" s="15"/>
      <c r="B123" s="16" t="s">
        <v>19</v>
      </c>
      <c r="C123" s="17">
        <f>SUM(C116:C122)</f>
        <v>303046.83712328767</v>
      </c>
      <c r="D123" s="18"/>
      <c r="F123" s="62"/>
    </row>
    <row r="124" spans="1:6" ht="33.75" thickBot="1">
      <c r="A124" s="23"/>
      <c r="B124" s="24"/>
      <c r="C124" s="25" t="s">
        <v>66</v>
      </c>
      <c r="D124" s="26">
        <f>SUM(D116:D122)</f>
        <v>9995234.8371232878</v>
      </c>
      <c r="F124" s="64">
        <f>SUM(F116:F122)</f>
        <v>9692188</v>
      </c>
    </row>
    <row r="125" spans="1:6" ht="16.5">
      <c r="A125" s="41"/>
      <c r="B125" s="42"/>
      <c r="C125" s="43"/>
      <c r="D125" s="44"/>
    </row>
    <row r="126" spans="1:6" ht="18">
      <c r="A126" s="428" t="s">
        <v>67</v>
      </c>
      <c r="B126" s="428"/>
      <c r="C126" s="428"/>
      <c r="D126" s="48">
        <f>SUM(D128:D130)</f>
        <v>111247992.57544568</v>
      </c>
      <c r="F126" s="375">
        <f>SUM(F16,F28,F40,F52,F64,F76,F88,F100,F112,F124)</f>
        <v>87229720.879999995</v>
      </c>
    </row>
    <row r="127" spans="1:6" ht="16.5">
      <c r="A127" s="429" t="s">
        <v>68</v>
      </c>
      <c r="B127" s="429"/>
      <c r="C127" s="429"/>
      <c r="D127" s="49"/>
    </row>
    <row r="128" spans="1:6">
      <c r="A128" s="425" t="s">
        <v>69</v>
      </c>
      <c r="B128" s="425"/>
      <c r="C128" s="425"/>
      <c r="D128" s="50">
        <f>A132*35+A133</f>
        <v>87229720.879999995</v>
      </c>
    </row>
    <row r="129" spans="1:4">
      <c r="A129" s="425" t="s">
        <v>70</v>
      </c>
      <c r="B129" s="425"/>
      <c r="C129" s="425"/>
      <c r="D129" s="50">
        <f>SUM(C14,C27,C39,C51,C63,C75,C87,C99,C111,C123)</f>
        <v>23939764.946653698</v>
      </c>
    </row>
    <row r="130" spans="1:4">
      <c r="A130" s="425" t="s">
        <v>71</v>
      </c>
      <c r="B130" s="425"/>
      <c r="C130" s="425"/>
      <c r="D130" s="50">
        <f>C15</f>
        <v>78506.748791999999</v>
      </c>
    </row>
    <row r="131" spans="1:4">
      <c r="A131" s="51" t="s">
        <v>72</v>
      </c>
      <c r="B131" s="52"/>
    </row>
    <row r="132" spans="1:4" ht="15.75">
      <c r="A132" s="372">
        <v>2423047</v>
      </c>
      <c r="B132" s="29" t="s">
        <v>316</v>
      </c>
    </row>
    <row r="133" spans="1:4" ht="15.75">
      <c r="A133" s="379">
        <v>2423075.88</v>
      </c>
      <c r="B133" s="27" t="s">
        <v>145</v>
      </c>
      <c r="D133" s="29">
        <f>SUM(D129:D130)</f>
        <v>24018271.695445698</v>
      </c>
    </row>
    <row r="135" spans="1:4" ht="15.75">
      <c r="A135" t="s">
        <v>73</v>
      </c>
      <c r="B135" s="54">
        <v>3.8600000000000002E-2</v>
      </c>
    </row>
    <row r="136" spans="1:4">
      <c r="A136" s="52" t="s">
        <v>74</v>
      </c>
      <c r="B136" s="55">
        <v>1.6578999999999999</v>
      </c>
    </row>
    <row r="137" spans="1:4">
      <c r="A137" s="52" t="s">
        <v>75</v>
      </c>
    </row>
    <row r="138" spans="1:4">
      <c r="B138" s="56">
        <f>3.86*165.79%</f>
        <v>6.3994939999999998</v>
      </c>
    </row>
    <row r="140" spans="1:4">
      <c r="B140">
        <v>18500000</v>
      </c>
    </row>
  </sheetData>
  <mergeCells count="7">
    <mergeCell ref="A130:C130"/>
    <mergeCell ref="A2:F2"/>
    <mergeCell ref="A3:D3"/>
    <mergeCell ref="A126:C126"/>
    <mergeCell ref="A127:C127"/>
    <mergeCell ref="A128:C128"/>
    <mergeCell ref="A129:C129"/>
  </mergeCells>
  <pageMargins left="0.22" right="0.22" top="0.28000000000000003" bottom="0.41" header="0.2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C00000"/>
  </sheetPr>
  <dimension ref="A2:G140"/>
  <sheetViews>
    <sheetView topLeftCell="A20" zoomScale="80" zoomScaleNormal="80" workbookViewId="0">
      <selection activeCell="B51" sqref="B51"/>
    </sheetView>
  </sheetViews>
  <sheetFormatPr defaultRowHeight="14.25"/>
  <cols>
    <col min="1" max="1" width="20" customWidth="1"/>
    <col min="2" max="2" width="17.375" customWidth="1"/>
    <col min="3" max="4" width="15.625" customWidth="1"/>
    <col min="5" max="5" width="2" customWidth="1"/>
    <col min="6" max="6" width="19.125" customWidth="1"/>
  </cols>
  <sheetData>
    <row r="2" spans="1:7" ht="67.5" customHeight="1">
      <c r="A2" s="426" t="s">
        <v>153</v>
      </c>
      <c r="B2" s="426"/>
      <c r="C2" s="426"/>
      <c r="D2" s="426"/>
      <c r="E2" s="426"/>
      <c r="F2" s="426"/>
    </row>
    <row r="3" spans="1:7">
      <c r="A3" s="427"/>
      <c r="B3" s="427"/>
      <c r="C3" s="427"/>
      <c r="D3" s="427"/>
      <c r="F3" s="57" t="s">
        <v>76</v>
      </c>
      <c r="G3" s="58"/>
    </row>
    <row r="4" spans="1:7" ht="15" thickBot="1">
      <c r="D4" s="2" t="s">
        <v>10</v>
      </c>
    </row>
    <row r="5" spans="1:7" ht="39" thickBot="1">
      <c r="A5" s="3" t="s">
        <v>11</v>
      </c>
      <c r="B5" s="4" t="s">
        <v>12</v>
      </c>
      <c r="C5" s="4" t="s">
        <v>13</v>
      </c>
      <c r="D5" s="5" t="s">
        <v>14</v>
      </c>
      <c r="F5" s="59" t="s">
        <v>77</v>
      </c>
    </row>
    <row r="6" spans="1:7" ht="15.75">
      <c r="A6" s="6" t="s">
        <v>79</v>
      </c>
      <c r="B6" s="7"/>
      <c r="C6" s="8"/>
      <c r="D6" s="9"/>
      <c r="F6" s="60"/>
    </row>
    <row r="7" spans="1:7" ht="15.75">
      <c r="A7" s="10"/>
      <c r="B7" s="11">
        <v>0</v>
      </c>
      <c r="C7" s="12">
        <f>(A7*B7)/365*90</f>
        <v>0</v>
      </c>
      <c r="D7" s="13">
        <v>0</v>
      </c>
      <c r="F7" s="61">
        <v>0</v>
      </c>
    </row>
    <row r="8" spans="1:7" ht="15.75">
      <c r="A8" s="10" t="s">
        <v>80</v>
      </c>
      <c r="B8" s="11"/>
      <c r="C8" s="12"/>
      <c r="D8" s="13"/>
      <c r="F8" s="61"/>
    </row>
    <row r="9" spans="1:7" ht="15.75">
      <c r="A9" s="10"/>
      <c r="B9" s="11">
        <v>0</v>
      </c>
      <c r="C9" s="12">
        <f>(A9*B9)/365*90</f>
        <v>0</v>
      </c>
      <c r="D9" s="13">
        <v>0</v>
      </c>
      <c r="F9" s="61">
        <v>0</v>
      </c>
    </row>
    <row r="10" spans="1:7" ht="15.75">
      <c r="A10" s="10" t="s">
        <v>81</v>
      </c>
      <c r="B10" s="11"/>
      <c r="C10" s="12"/>
      <c r="D10" s="13"/>
      <c r="F10" s="61"/>
    </row>
    <row r="11" spans="1:7" ht="15.75">
      <c r="A11" s="10"/>
      <c r="B11" s="11">
        <v>0</v>
      </c>
      <c r="C11" s="12">
        <f>(A11*B11)/365*90</f>
        <v>0</v>
      </c>
      <c r="D11" s="13">
        <v>0</v>
      </c>
      <c r="F11" s="61">
        <v>0</v>
      </c>
    </row>
    <row r="12" spans="1:7" ht="15.75">
      <c r="A12" s="10" t="s">
        <v>82</v>
      </c>
      <c r="B12" s="11"/>
      <c r="C12" s="12"/>
      <c r="D12" s="13"/>
      <c r="F12" s="61"/>
    </row>
    <row r="13" spans="1:7" ht="16.5" thickBot="1">
      <c r="A13" s="10">
        <f>'Zestawienie kredytów'!F30</f>
        <v>57152000</v>
      </c>
      <c r="B13" s="11">
        <v>0</v>
      </c>
      <c r="C13" s="14">
        <f>(A13*B13)/365*90</f>
        <v>0</v>
      </c>
      <c r="D13" s="13">
        <f>C13</f>
        <v>0</v>
      </c>
      <c r="F13" s="61">
        <f>E13</f>
        <v>0</v>
      </c>
    </row>
    <row r="14" spans="1:7" ht="15.75">
      <c r="A14" s="15"/>
      <c r="B14" s="16" t="s">
        <v>19</v>
      </c>
      <c r="C14" s="17">
        <f>SUM(C7:C13)</f>
        <v>0</v>
      </c>
      <c r="D14" s="18"/>
      <c r="F14" s="62"/>
    </row>
    <row r="15" spans="1:7" ht="15.75">
      <c r="A15" s="19"/>
      <c r="B15" s="20" t="s">
        <v>20</v>
      </c>
      <c r="C15" s="21">
        <f>0.09%*A13</f>
        <v>51436.799999999996</v>
      </c>
      <c r="D15" s="22"/>
      <c r="F15" s="63"/>
    </row>
    <row r="16" spans="1:7" ht="33.75" thickBot="1">
      <c r="A16" s="23"/>
      <c r="B16" s="24"/>
      <c r="C16" s="25" t="s">
        <v>78</v>
      </c>
      <c r="D16" s="26">
        <f>SUM(D7:D13)+C15</f>
        <v>51436.799999999996</v>
      </c>
      <c r="F16" s="64">
        <f>SUM(F7:F13)</f>
        <v>0</v>
      </c>
    </row>
    <row r="17" spans="1:6" ht="15" thickBot="1">
      <c r="A17" s="27"/>
      <c r="B17" s="27"/>
      <c r="C17" s="27"/>
      <c r="D17" s="27"/>
      <c r="F17" s="67"/>
    </row>
    <row r="18" spans="1:6" ht="39" thickBot="1">
      <c r="A18" s="3" t="s">
        <v>11</v>
      </c>
      <c r="B18" s="4" t="s">
        <v>12</v>
      </c>
      <c r="C18" s="4" t="s">
        <v>13</v>
      </c>
      <c r="D18" s="5" t="s">
        <v>14</v>
      </c>
      <c r="F18" s="59" t="s">
        <v>77</v>
      </c>
    </row>
    <row r="19" spans="1:6" ht="15.75">
      <c r="A19" s="6" t="s">
        <v>22</v>
      </c>
      <c r="B19" s="7"/>
      <c r="C19" s="8"/>
      <c r="D19" s="9"/>
      <c r="F19" s="60"/>
    </row>
    <row r="20" spans="1:6" ht="15.75">
      <c r="A20" s="10">
        <f>A13</f>
        <v>57152000</v>
      </c>
      <c r="B20" s="11">
        <v>5.8999999999999997E-2</v>
      </c>
      <c r="C20" s="12">
        <f>(A20*B20)/365*180</f>
        <v>1662888.3287671232</v>
      </c>
      <c r="D20" s="13">
        <f>C20+A133</f>
        <v>3250463.3287671232</v>
      </c>
      <c r="F20" s="61">
        <f>$A$133</f>
        <v>1587575</v>
      </c>
    </row>
    <row r="21" spans="1:6" ht="15.75">
      <c r="A21" s="10" t="s">
        <v>23</v>
      </c>
      <c r="B21" s="11"/>
      <c r="C21" s="12"/>
      <c r="D21" s="13"/>
      <c r="F21" s="61"/>
    </row>
    <row r="22" spans="1:6" ht="15.75">
      <c r="A22" s="10">
        <f>A20-A133</f>
        <v>55564425</v>
      </c>
      <c r="B22" s="11">
        <v>5.8999999999999997E-2</v>
      </c>
      <c r="C22" s="12">
        <f>(A22*B22)/365*91</f>
        <v>817329.85705479444</v>
      </c>
      <c r="D22" s="13">
        <f>C22+A132</f>
        <v>2404884.8570547942</v>
      </c>
      <c r="F22" s="61">
        <f>$A$132</f>
        <v>1587555</v>
      </c>
    </row>
    <row r="23" spans="1:6" ht="15.75">
      <c r="A23" s="10" t="s">
        <v>24</v>
      </c>
      <c r="B23" s="11"/>
      <c r="C23" s="12"/>
      <c r="D23" s="13"/>
      <c r="F23" s="61"/>
    </row>
    <row r="24" spans="1:6" ht="15.75">
      <c r="A24" s="10">
        <f>A22-A132</f>
        <v>53976870</v>
      </c>
      <c r="B24" s="11">
        <v>6.5000000000000002E-2</v>
      </c>
      <c r="C24" s="12">
        <f>(A24*B24)/365*92</f>
        <v>884333.3769863015</v>
      </c>
      <c r="D24" s="13">
        <f>C24+A132</f>
        <v>2471888.3769863015</v>
      </c>
      <c r="F24" s="61">
        <f>$A$132</f>
        <v>1587555</v>
      </c>
    </row>
    <row r="25" spans="1:6" ht="15.75">
      <c r="A25" s="10" t="s">
        <v>25</v>
      </c>
      <c r="B25" s="11"/>
      <c r="C25" s="12"/>
      <c r="D25" s="13"/>
      <c r="F25" s="61"/>
    </row>
    <row r="26" spans="1:6" ht="16.5" thickBot="1">
      <c r="A26" s="10">
        <f>A24-A132</f>
        <v>52389315</v>
      </c>
      <c r="B26" s="11">
        <v>6.5000000000000002E-2</v>
      </c>
      <c r="C26" s="14">
        <f>(A26*B26)/365*92</f>
        <v>858323.57178082189</v>
      </c>
      <c r="D26" s="13">
        <f>C26+A132</f>
        <v>2445878.5717808218</v>
      </c>
      <c r="F26" s="61">
        <f>$A$132</f>
        <v>1587555</v>
      </c>
    </row>
    <row r="27" spans="1:6" ht="15.75">
      <c r="A27" s="15"/>
      <c r="B27" s="16" t="s">
        <v>19</v>
      </c>
      <c r="C27" s="17">
        <f>SUM(C20:C26)</f>
        <v>4222875.1345890416</v>
      </c>
      <c r="D27" s="18"/>
      <c r="F27" s="62"/>
    </row>
    <row r="28" spans="1:6" ht="33.75" thickBot="1">
      <c r="A28" s="23"/>
      <c r="B28" s="24"/>
      <c r="C28" s="25" t="s">
        <v>26</v>
      </c>
      <c r="D28" s="26">
        <f>SUM(D20:D26)</f>
        <v>10573115.134589041</v>
      </c>
      <c r="F28" s="64">
        <f>SUM(F20:F26)</f>
        <v>6350240</v>
      </c>
    </row>
    <row r="29" spans="1:6" ht="15" thickBot="1">
      <c r="A29" s="27"/>
      <c r="B29" s="28"/>
      <c r="C29" s="29"/>
      <c r="D29" s="27"/>
      <c r="F29" s="67"/>
    </row>
    <row r="30" spans="1:6" ht="39" thickBot="1">
      <c r="A30" s="3" t="s">
        <v>11</v>
      </c>
      <c r="B30" s="4" t="s">
        <v>12</v>
      </c>
      <c r="C30" s="4" t="s">
        <v>13</v>
      </c>
      <c r="D30" s="5" t="s">
        <v>14</v>
      </c>
      <c r="F30" s="59" t="s">
        <v>77</v>
      </c>
    </row>
    <row r="31" spans="1:6" ht="15.75">
      <c r="A31" s="6" t="s">
        <v>27</v>
      </c>
      <c r="B31" s="7"/>
      <c r="C31" s="8"/>
      <c r="D31" s="9"/>
      <c r="F31" s="60"/>
    </row>
    <row r="32" spans="1:6" ht="15.75">
      <c r="A32" s="10">
        <f>A26-A132</f>
        <v>50801760</v>
      </c>
      <c r="B32" s="11">
        <v>0.06</v>
      </c>
      <c r="C32" s="12">
        <f>(A32*B32)/365*90</f>
        <v>751587.68219178077</v>
      </c>
      <c r="D32" s="13">
        <f>C32+A132</f>
        <v>2339142.6821917808</v>
      </c>
      <c r="F32" s="61">
        <f>$A$132</f>
        <v>1587555</v>
      </c>
    </row>
    <row r="33" spans="1:6" ht="15.75">
      <c r="A33" s="10" t="s">
        <v>28</v>
      </c>
      <c r="B33" s="11"/>
      <c r="C33" s="12"/>
      <c r="D33" s="13"/>
      <c r="F33" s="61"/>
    </row>
    <row r="34" spans="1:6" ht="15.75">
      <c r="A34" s="10">
        <f>A32-A132</f>
        <v>49214205</v>
      </c>
      <c r="B34" s="11">
        <v>0.06</v>
      </c>
      <c r="C34" s="12">
        <f>(A34*B34)/365*91</f>
        <v>736190.57342465746</v>
      </c>
      <c r="D34" s="13">
        <f>C34+A132</f>
        <v>2323745.5734246573</v>
      </c>
      <c r="F34" s="61">
        <f>$A$132</f>
        <v>1587555</v>
      </c>
    </row>
    <row r="35" spans="1:6" ht="15.75">
      <c r="A35" s="10" t="s">
        <v>29</v>
      </c>
      <c r="B35" s="11"/>
      <c r="C35" s="12"/>
      <c r="D35" s="13"/>
      <c r="F35" s="61"/>
    </row>
    <row r="36" spans="1:6" ht="15.75">
      <c r="A36" s="10">
        <f>A34-A132</f>
        <v>47626650</v>
      </c>
      <c r="B36" s="11">
        <v>5.8999999999999997E-2</v>
      </c>
      <c r="C36" s="12">
        <f>(A36*B36)/365*92</f>
        <v>708267.00328767113</v>
      </c>
      <c r="D36" s="13">
        <f>C36+A132</f>
        <v>2295822.0032876711</v>
      </c>
      <c r="F36" s="61">
        <f>$A$132</f>
        <v>1587555</v>
      </c>
    </row>
    <row r="37" spans="1:6" ht="15.75">
      <c r="A37" s="10" t="s">
        <v>30</v>
      </c>
      <c r="B37" s="11"/>
      <c r="C37" s="12"/>
      <c r="D37" s="13"/>
      <c r="F37" s="61"/>
    </row>
    <row r="38" spans="1:6" ht="16.5" thickBot="1">
      <c r="A38" s="10">
        <f>A36-A132</f>
        <v>46039095</v>
      </c>
      <c r="B38" s="11">
        <v>5.8999999999999997E-2</v>
      </c>
      <c r="C38" s="14">
        <f>(A38*B38)/365*92</f>
        <v>684658.10317808215</v>
      </c>
      <c r="D38" s="13">
        <f>C38+A132</f>
        <v>2272213.103178082</v>
      </c>
      <c r="F38" s="61">
        <f>$A$132</f>
        <v>1587555</v>
      </c>
    </row>
    <row r="39" spans="1:6" ht="15.75">
      <c r="A39" s="15"/>
      <c r="B39" s="16" t="s">
        <v>19</v>
      </c>
      <c r="C39" s="17">
        <f>SUM(C32:C38)</f>
        <v>2880703.3620821913</v>
      </c>
      <c r="D39" s="18"/>
      <c r="F39" s="62"/>
    </row>
    <row r="40" spans="1:6" ht="33.75" thickBot="1">
      <c r="A40" s="30"/>
      <c r="B40" s="31"/>
      <c r="C40" s="32" t="s">
        <v>31</v>
      </c>
      <c r="D40" s="33">
        <f>SUM(D32:D38)</f>
        <v>9230923.3620821908</v>
      </c>
      <c r="F40" s="66">
        <f>SUM(F32:F38)</f>
        <v>6350220</v>
      </c>
    </row>
    <row r="41" spans="1:6" ht="17.25" thickBot="1">
      <c r="A41" s="34"/>
      <c r="B41" s="35"/>
      <c r="C41" s="36"/>
      <c r="D41" s="37"/>
      <c r="F41" s="37"/>
    </row>
    <row r="42" spans="1:6" ht="39" thickBot="1">
      <c r="A42" s="38" t="s">
        <v>11</v>
      </c>
      <c r="B42" s="39" t="s">
        <v>12</v>
      </c>
      <c r="C42" s="39" t="s">
        <v>13</v>
      </c>
      <c r="D42" s="40" t="s">
        <v>14</v>
      </c>
      <c r="F42" s="59" t="s">
        <v>77</v>
      </c>
    </row>
    <row r="43" spans="1:6" ht="15.75">
      <c r="A43" s="6" t="s">
        <v>32</v>
      </c>
      <c r="B43" s="7"/>
      <c r="C43" s="8"/>
      <c r="D43" s="9"/>
      <c r="F43" s="60"/>
    </row>
    <row r="44" spans="1:6" ht="15.75">
      <c r="A44" s="10">
        <f>A38-A132</f>
        <v>44451540</v>
      </c>
      <c r="B44" s="11">
        <v>5.8999999999999997E-2</v>
      </c>
      <c r="C44" s="12">
        <f>(A44*B44)/365*90</f>
        <v>646678.56821917801</v>
      </c>
      <c r="D44" s="13">
        <f>C44+A132</f>
        <v>2234233.5682191779</v>
      </c>
      <c r="F44" s="61">
        <f>$A$132</f>
        <v>1587555</v>
      </c>
    </row>
    <row r="45" spans="1:6" ht="15.75">
      <c r="A45" s="10" t="s">
        <v>33</v>
      </c>
      <c r="B45" s="11"/>
      <c r="C45" s="12"/>
      <c r="D45" s="13"/>
      <c r="F45" s="61"/>
    </row>
    <row r="46" spans="1:6" ht="15.75">
      <c r="A46" s="10">
        <f>A44-A132</f>
        <v>42863985</v>
      </c>
      <c r="B46" s="11">
        <v>5.8999999999999997E-2</v>
      </c>
      <c r="C46" s="12">
        <f>(A46*B46)/365*91</f>
        <v>630511.60401369852</v>
      </c>
      <c r="D46" s="13">
        <f>C46+A132</f>
        <v>2218066.6040136986</v>
      </c>
      <c r="F46" s="61">
        <f>$A$132</f>
        <v>1587555</v>
      </c>
    </row>
    <row r="47" spans="1:6" ht="15.75">
      <c r="A47" s="10" t="s">
        <v>34</v>
      </c>
      <c r="B47" s="11"/>
      <c r="C47" s="12"/>
      <c r="D47" s="13"/>
      <c r="F47" s="61"/>
    </row>
    <row r="48" spans="1:6" ht="15.75">
      <c r="A48" s="10">
        <f>A46-A132</f>
        <v>41276430</v>
      </c>
      <c r="B48" s="11">
        <v>5.8000000000000003E-2</v>
      </c>
      <c r="C48" s="12">
        <f>(A48*B48)/365*92</f>
        <v>603427.48076712328</v>
      </c>
      <c r="D48" s="13">
        <f>C48+A132</f>
        <v>2190982.4807671234</v>
      </c>
      <c r="F48" s="61">
        <f>$A$132</f>
        <v>1587555</v>
      </c>
    </row>
    <row r="49" spans="1:6" ht="15.75">
      <c r="A49" s="10" t="s">
        <v>35</v>
      </c>
      <c r="B49" s="11"/>
      <c r="C49" s="12"/>
      <c r="D49" s="13"/>
      <c r="F49" s="61"/>
    </row>
    <row r="50" spans="1:6" ht="16.5" thickBot="1">
      <c r="A50" s="10">
        <f>A48-A132</f>
        <v>39688875</v>
      </c>
      <c r="B50" s="11">
        <v>5.8000000000000003E-2</v>
      </c>
      <c r="C50" s="14">
        <f>(A50*B50)/365*92</f>
        <v>580218.73150684941</v>
      </c>
      <c r="D50" s="13">
        <f>C50+A132</f>
        <v>2167773.7315068496</v>
      </c>
      <c r="F50" s="61">
        <f>$A$132</f>
        <v>1587555</v>
      </c>
    </row>
    <row r="51" spans="1:6" ht="15.75">
      <c r="A51" s="15"/>
      <c r="B51" s="16" t="s">
        <v>19</v>
      </c>
      <c r="C51" s="17">
        <f>SUM(C44:C50)</f>
        <v>2460836.3845068496</v>
      </c>
      <c r="D51" s="18"/>
      <c r="F51" s="62"/>
    </row>
    <row r="52" spans="1:6" ht="33.75" thickBot="1">
      <c r="A52" s="23"/>
      <c r="B52" s="24"/>
      <c r="C52" s="25" t="s">
        <v>36</v>
      </c>
      <c r="D52" s="26">
        <f>SUM(D44:D50)</f>
        <v>8811056.3845068496</v>
      </c>
      <c r="F52" s="64">
        <f>SUM(F44:F50)</f>
        <v>6350220</v>
      </c>
    </row>
    <row r="53" spans="1:6" ht="17.25" thickBot="1">
      <c r="A53" s="41"/>
      <c r="B53" s="42"/>
      <c r="C53" s="43"/>
      <c r="D53" s="44"/>
      <c r="F53" s="37"/>
    </row>
    <row r="54" spans="1:6" ht="39" thickBot="1">
      <c r="A54" s="45" t="s">
        <v>11</v>
      </c>
      <c r="B54" s="46" t="s">
        <v>12</v>
      </c>
      <c r="C54" s="46" t="s">
        <v>13</v>
      </c>
      <c r="D54" s="47" t="s">
        <v>14</v>
      </c>
      <c r="F54" s="59" t="s">
        <v>77</v>
      </c>
    </row>
    <row r="55" spans="1:6" ht="15.75">
      <c r="A55" s="6" t="s">
        <v>37</v>
      </c>
      <c r="B55" s="7"/>
      <c r="C55" s="8"/>
      <c r="D55" s="9"/>
      <c r="F55" s="60"/>
    </row>
    <row r="56" spans="1:6" ht="15.75">
      <c r="A56" s="10">
        <f>A50-A132</f>
        <v>38101320</v>
      </c>
      <c r="B56" s="11">
        <v>5.5E-2</v>
      </c>
      <c r="C56" s="12">
        <f>(A56*B56)/365*90</f>
        <v>516716.53150684928</v>
      </c>
      <c r="D56" s="13">
        <f>C56+A132</f>
        <v>2104271.5315068495</v>
      </c>
      <c r="F56" s="61">
        <f>$A$132</f>
        <v>1587555</v>
      </c>
    </row>
    <row r="57" spans="1:6" ht="15.75">
      <c r="A57" s="10" t="s">
        <v>38</v>
      </c>
      <c r="B57" s="11"/>
      <c r="C57" s="12"/>
      <c r="D57" s="13"/>
      <c r="F57" s="61"/>
    </row>
    <row r="58" spans="1:6" ht="15.75">
      <c r="A58" s="10">
        <f>A56-A132</f>
        <v>36513765</v>
      </c>
      <c r="B58" s="11">
        <v>5.5E-2</v>
      </c>
      <c r="C58" s="12">
        <f>(A58*B58)/365*91</f>
        <v>500688.75020547945</v>
      </c>
      <c r="D58" s="13">
        <f>C58+A132</f>
        <v>2088243.7502054796</v>
      </c>
      <c r="F58" s="61">
        <f>$A$132</f>
        <v>1587555</v>
      </c>
    </row>
    <row r="59" spans="1:6" ht="15.75">
      <c r="A59" s="10" t="s">
        <v>39</v>
      </c>
      <c r="B59" s="11"/>
      <c r="C59" s="12"/>
      <c r="D59" s="13"/>
      <c r="F59" s="61"/>
    </row>
    <row r="60" spans="1:6" ht="15.75">
      <c r="A60" s="10">
        <f>A58-A132</f>
        <v>34926210</v>
      </c>
      <c r="B60" s="11">
        <v>5.5E-2</v>
      </c>
      <c r="C60" s="12">
        <f>(A60*B60)/365*92</f>
        <v>484182.52767123288</v>
      </c>
      <c r="D60" s="13">
        <f>C60+A132</f>
        <v>2071737.5276712328</v>
      </c>
      <c r="F60" s="61">
        <f>$A$132</f>
        <v>1587555</v>
      </c>
    </row>
    <row r="61" spans="1:6" ht="15.75">
      <c r="A61" s="10" t="s">
        <v>40</v>
      </c>
      <c r="B61" s="11"/>
      <c r="C61" s="12"/>
      <c r="D61" s="13"/>
      <c r="F61" s="61"/>
    </row>
    <row r="62" spans="1:6" ht="16.5" thickBot="1">
      <c r="A62" s="10">
        <f>A60-A132</f>
        <v>33338655</v>
      </c>
      <c r="B62" s="11">
        <v>5.5E-2</v>
      </c>
      <c r="C62" s="14">
        <f>(A62*B62)/365*92</f>
        <v>462174.23095890402</v>
      </c>
      <c r="D62" s="13">
        <f>C62+A132</f>
        <v>2049729.2309589041</v>
      </c>
      <c r="F62" s="61">
        <f>$A$132</f>
        <v>1587555</v>
      </c>
    </row>
    <row r="63" spans="1:6" ht="15.75">
      <c r="A63" s="15"/>
      <c r="B63" s="16" t="s">
        <v>19</v>
      </c>
      <c r="C63" s="17">
        <f>SUM(C56:C62)</f>
        <v>1963762.0403424655</v>
      </c>
      <c r="D63" s="18"/>
      <c r="F63" s="62"/>
    </row>
    <row r="64" spans="1:6" ht="33.75" thickBot="1">
      <c r="A64" s="23"/>
      <c r="B64" s="24"/>
      <c r="C64" s="25" t="s">
        <v>41</v>
      </c>
      <c r="D64" s="26">
        <f>SUM(D56:D62)</f>
        <v>8313982.040342466</v>
      </c>
      <c r="F64" s="64">
        <f>SUM(F56:F62)</f>
        <v>6350220</v>
      </c>
    </row>
    <row r="65" spans="1:6" ht="17.25" thickBot="1">
      <c r="A65" s="41"/>
      <c r="B65" s="42"/>
      <c r="C65" s="43"/>
      <c r="D65" s="44"/>
      <c r="F65" s="37"/>
    </row>
    <row r="66" spans="1:6" ht="39" thickBot="1">
      <c r="A66" s="45" t="s">
        <v>11</v>
      </c>
      <c r="B66" s="46" t="s">
        <v>12</v>
      </c>
      <c r="C66" s="46" t="s">
        <v>13</v>
      </c>
      <c r="D66" s="47" t="s">
        <v>14</v>
      </c>
      <c r="F66" s="59" t="s">
        <v>77</v>
      </c>
    </row>
    <row r="67" spans="1:6" ht="15.75">
      <c r="A67" s="6" t="s">
        <v>42</v>
      </c>
      <c r="B67" s="7"/>
      <c r="C67" s="8"/>
      <c r="D67" s="9"/>
      <c r="F67" s="60"/>
    </row>
    <row r="68" spans="1:6" ht="15.75">
      <c r="A68" s="10">
        <f>A62-A132</f>
        <v>31751100</v>
      </c>
      <c r="B68" s="11">
        <v>0.06</v>
      </c>
      <c r="C68" s="12">
        <f>(A68*B68)/365*91</f>
        <v>474961.66027397261</v>
      </c>
      <c r="D68" s="13">
        <f>C68+A132</f>
        <v>2062516.6602739727</v>
      </c>
      <c r="F68" s="61">
        <f>$A$132</f>
        <v>1587555</v>
      </c>
    </row>
    <row r="69" spans="1:6" ht="15.75">
      <c r="A69" s="10" t="s">
        <v>43</v>
      </c>
      <c r="B69" s="11"/>
      <c r="C69" s="12"/>
      <c r="D69" s="13"/>
      <c r="F69" s="61"/>
    </row>
    <row r="70" spans="1:6" ht="15.75">
      <c r="A70" s="10">
        <f>A68-A132</f>
        <v>30163545</v>
      </c>
      <c r="B70" s="11">
        <v>0.06</v>
      </c>
      <c r="C70" s="12">
        <f>(A70*B70)/365*91</f>
        <v>451213.57726027397</v>
      </c>
      <c r="D70" s="13">
        <f>C70+A132</f>
        <v>2038768.577260274</v>
      </c>
      <c r="F70" s="61">
        <f>$A$132</f>
        <v>1587555</v>
      </c>
    </row>
    <row r="71" spans="1:6" ht="15.75">
      <c r="A71" s="10" t="s">
        <v>44</v>
      </c>
      <c r="B71" s="11"/>
      <c r="C71" s="12"/>
      <c r="D71" s="13"/>
      <c r="F71" s="61"/>
    </row>
    <row r="72" spans="1:6" ht="15.75">
      <c r="A72" s="10">
        <f>A70-A132</f>
        <v>28575990</v>
      </c>
      <c r="B72" s="11">
        <v>0.06</v>
      </c>
      <c r="C72" s="12">
        <f>(A72*B72)/365*92</f>
        <v>432162.91726027394</v>
      </c>
      <c r="D72" s="13">
        <f>C72+A132</f>
        <v>2019717.9172602738</v>
      </c>
      <c r="F72" s="61">
        <f>$A$132</f>
        <v>1587555</v>
      </c>
    </row>
    <row r="73" spans="1:6" ht="15.75">
      <c r="A73" s="10" t="s">
        <v>45</v>
      </c>
      <c r="B73" s="11"/>
      <c r="C73" s="12"/>
      <c r="D73" s="13"/>
      <c r="F73" s="61"/>
    </row>
    <row r="74" spans="1:6" ht="16.5" thickBot="1">
      <c r="A74" s="10">
        <f>A72-A132</f>
        <v>26988435</v>
      </c>
      <c r="B74" s="11">
        <v>0.06</v>
      </c>
      <c r="C74" s="14">
        <f>(A74*B74)/365*92</f>
        <v>408153.8663013698</v>
      </c>
      <c r="D74" s="13">
        <f>C74+A132</f>
        <v>1995708.8663013699</v>
      </c>
      <c r="F74" s="61">
        <f>$A$132</f>
        <v>1587555</v>
      </c>
    </row>
    <row r="75" spans="1:6" ht="15.75">
      <c r="A75" s="15"/>
      <c r="B75" s="16" t="s">
        <v>19</v>
      </c>
      <c r="C75" s="17">
        <f>SUM(C68:C74)</f>
        <v>1766492.0210958906</v>
      </c>
      <c r="D75" s="18"/>
      <c r="F75" s="62"/>
    </row>
    <row r="76" spans="1:6" ht="33.75" thickBot="1">
      <c r="A76" s="23"/>
      <c r="B76" s="24"/>
      <c r="C76" s="25" t="s">
        <v>46</v>
      </c>
      <c r="D76" s="26">
        <f>SUM(D68:D74)</f>
        <v>8116712.0210958896</v>
      </c>
      <c r="F76" s="64">
        <f>SUM(F68:F74)</f>
        <v>6350220</v>
      </c>
    </row>
    <row r="77" spans="1:6" ht="17.25" thickBot="1">
      <c r="A77" s="41"/>
      <c r="B77" s="42"/>
      <c r="C77" s="43"/>
      <c r="D77" s="44"/>
      <c r="F77" s="37"/>
    </row>
    <row r="78" spans="1:6" ht="39" thickBot="1">
      <c r="A78" s="45" t="s">
        <v>11</v>
      </c>
      <c r="B78" s="46" t="s">
        <v>12</v>
      </c>
      <c r="C78" s="46" t="s">
        <v>13</v>
      </c>
      <c r="D78" s="47" t="s">
        <v>14</v>
      </c>
      <c r="F78" s="59" t="s">
        <v>77</v>
      </c>
    </row>
    <row r="79" spans="1:6" ht="15.75">
      <c r="A79" s="6" t="s">
        <v>47</v>
      </c>
      <c r="B79" s="7"/>
      <c r="C79" s="8"/>
      <c r="D79" s="9"/>
      <c r="F79" s="60"/>
    </row>
    <row r="80" spans="1:6" ht="15.75">
      <c r="A80" s="10">
        <f>A74-A132</f>
        <v>25400880</v>
      </c>
      <c r="B80" s="11">
        <v>5.5E-2</v>
      </c>
      <c r="C80" s="12">
        <f>(A80*B80)/365*90</f>
        <v>344477.68767123285</v>
      </c>
      <c r="D80" s="13">
        <f>C80+A132</f>
        <v>1932032.687671233</v>
      </c>
      <c r="F80" s="61">
        <f>$A$132</f>
        <v>1587555</v>
      </c>
    </row>
    <row r="81" spans="1:6" ht="15.75">
      <c r="A81" s="10" t="s">
        <v>48</v>
      </c>
      <c r="B81" s="11"/>
      <c r="C81" s="12"/>
      <c r="D81" s="13"/>
      <c r="F81" s="61"/>
    </row>
    <row r="82" spans="1:6" ht="15.75">
      <c r="A82" s="10">
        <f>A80-A132</f>
        <v>23813325</v>
      </c>
      <c r="B82" s="11">
        <v>5.5E-2</v>
      </c>
      <c r="C82" s="12">
        <f>(A82*B82)/365*91</f>
        <v>326536.14143835619</v>
      </c>
      <c r="D82" s="13">
        <f>C82+A132</f>
        <v>1914091.1414383561</v>
      </c>
      <c r="F82" s="61">
        <f>$A$132</f>
        <v>1587555</v>
      </c>
    </row>
    <row r="83" spans="1:6" ht="15.75">
      <c r="A83" s="10" t="s">
        <v>49</v>
      </c>
      <c r="B83" s="11"/>
      <c r="C83" s="12"/>
      <c r="D83" s="13"/>
      <c r="F83" s="61"/>
    </row>
    <row r="84" spans="1:6" ht="15.75">
      <c r="A84" s="10">
        <f>A82-A132</f>
        <v>22225770</v>
      </c>
      <c r="B84" s="11">
        <v>5.5E-2</v>
      </c>
      <c r="C84" s="12">
        <f>(A84*B84)/365*92</f>
        <v>308116.15397260274</v>
      </c>
      <c r="D84" s="13">
        <f>C84+A132</f>
        <v>1895671.1539726027</v>
      </c>
      <c r="F84" s="61">
        <f>$A$132</f>
        <v>1587555</v>
      </c>
    </row>
    <row r="85" spans="1:6" ht="15.75">
      <c r="A85" s="10" t="s">
        <v>50</v>
      </c>
      <c r="B85" s="11"/>
      <c r="C85" s="12"/>
      <c r="D85" s="13"/>
      <c r="F85" s="61"/>
    </row>
    <row r="86" spans="1:6" ht="16.5" thickBot="1">
      <c r="A86" s="10">
        <f>A84-A132</f>
        <v>20638215</v>
      </c>
      <c r="B86" s="11">
        <v>5.5E-2</v>
      </c>
      <c r="C86" s="14">
        <f>(A86*B86)/365*92</f>
        <v>286107.85726027394</v>
      </c>
      <c r="D86" s="13">
        <f>C86+A132</f>
        <v>1873662.857260274</v>
      </c>
      <c r="F86" s="61">
        <f>$A$132</f>
        <v>1587555</v>
      </c>
    </row>
    <row r="87" spans="1:6" ht="15.75">
      <c r="A87" s="15"/>
      <c r="B87" s="16" t="s">
        <v>19</v>
      </c>
      <c r="C87" s="17">
        <f>SUM(C80:C86)</f>
        <v>1265237.8403424658</v>
      </c>
      <c r="D87" s="18"/>
      <c r="F87" s="62"/>
    </row>
    <row r="88" spans="1:6" ht="33.75" thickBot="1">
      <c r="A88" s="23"/>
      <c r="B88" s="24"/>
      <c r="C88" s="25" t="s">
        <v>51</v>
      </c>
      <c r="D88" s="26">
        <f>SUM(D80:D86)</f>
        <v>7615457.8403424658</v>
      </c>
      <c r="F88" s="64">
        <f>SUM(F80:F86)</f>
        <v>6350220</v>
      </c>
    </row>
    <row r="89" spans="1:6" ht="17.25" thickBot="1">
      <c r="A89" s="41"/>
      <c r="B89" s="42"/>
      <c r="C89" s="43"/>
      <c r="D89" s="44"/>
      <c r="F89" s="37"/>
    </row>
    <row r="90" spans="1:6" ht="39" thickBot="1">
      <c r="A90" s="45" t="s">
        <v>11</v>
      </c>
      <c r="B90" s="46" t="s">
        <v>12</v>
      </c>
      <c r="C90" s="46" t="s">
        <v>13</v>
      </c>
      <c r="D90" s="47" t="s">
        <v>14</v>
      </c>
      <c r="F90" s="59" t="s">
        <v>77</v>
      </c>
    </row>
    <row r="91" spans="1:6" ht="15.75">
      <c r="A91" s="6" t="s">
        <v>52</v>
      </c>
      <c r="B91" s="7"/>
      <c r="C91" s="8"/>
      <c r="D91" s="9"/>
      <c r="F91" s="60"/>
    </row>
    <row r="92" spans="1:6" ht="15.75">
      <c r="A92" s="10">
        <f>A86-A132</f>
        <v>19050660</v>
      </c>
      <c r="B92" s="11">
        <v>5.2999999999999999E-2</v>
      </c>
      <c r="C92" s="12">
        <f>(A92*B92)/365*90</f>
        <v>248963.41972602738</v>
      </c>
      <c r="D92" s="13">
        <f>C92+A132</f>
        <v>1836518.4197260274</v>
      </c>
      <c r="F92" s="61">
        <f>$A$132</f>
        <v>1587555</v>
      </c>
    </row>
    <row r="93" spans="1:6" ht="15.75">
      <c r="A93" s="10" t="s">
        <v>53</v>
      </c>
      <c r="B93" s="11"/>
      <c r="C93" s="12"/>
      <c r="D93" s="13"/>
      <c r="F93" s="61"/>
    </row>
    <row r="94" spans="1:6" ht="15.75">
      <c r="A94" s="10">
        <f>A92-A132</f>
        <v>17463105</v>
      </c>
      <c r="B94" s="11">
        <v>5.2999999999999999E-2</v>
      </c>
      <c r="C94" s="12">
        <f>(A94*B94)/365*91</f>
        <v>230752.20661643831</v>
      </c>
      <c r="D94" s="13">
        <f>C94+A132</f>
        <v>1818307.2066164382</v>
      </c>
      <c r="F94" s="61">
        <f>$A$132</f>
        <v>1587555</v>
      </c>
    </row>
    <row r="95" spans="1:6" ht="15.75">
      <c r="A95" s="10" t="s">
        <v>54</v>
      </c>
      <c r="B95" s="11"/>
      <c r="C95" s="12"/>
      <c r="D95" s="13"/>
      <c r="F95" s="61"/>
    </row>
    <row r="96" spans="1:6" ht="15.75">
      <c r="A96" s="10">
        <f>A94-A132</f>
        <v>15875550</v>
      </c>
      <c r="B96" s="11">
        <v>5.2999999999999999E-2</v>
      </c>
      <c r="C96" s="12">
        <f>(A96*B96)/365*92</f>
        <v>212079.9501369863</v>
      </c>
      <c r="D96" s="13">
        <f>C96+A132</f>
        <v>1799634.9501369863</v>
      </c>
      <c r="F96" s="61">
        <f>$A$132</f>
        <v>1587555</v>
      </c>
    </row>
    <row r="97" spans="1:6" ht="15.75">
      <c r="A97" s="10" t="s">
        <v>55</v>
      </c>
      <c r="B97" s="11"/>
      <c r="C97" s="12"/>
      <c r="D97" s="13"/>
      <c r="F97" s="61"/>
    </row>
    <row r="98" spans="1:6" ht="16.5" thickBot="1">
      <c r="A98" s="10">
        <f>A96-A132</f>
        <v>14287995</v>
      </c>
      <c r="B98" s="11">
        <v>5.2999999999999999E-2</v>
      </c>
      <c r="C98" s="14">
        <f>(A98*B98)/365*92</f>
        <v>190871.95512328765</v>
      </c>
      <c r="D98" s="13">
        <f>C98+A132</f>
        <v>1778426.9551232876</v>
      </c>
      <c r="F98" s="61">
        <f>$A$132</f>
        <v>1587555</v>
      </c>
    </row>
    <row r="99" spans="1:6" ht="15.75">
      <c r="A99" s="15"/>
      <c r="B99" s="16" t="s">
        <v>19</v>
      </c>
      <c r="C99" s="17">
        <f>SUM(C92:C98)</f>
        <v>882667.53160273959</v>
      </c>
      <c r="D99" s="18"/>
      <c r="F99" s="62"/>
    </row>
    <row r="100" spans="1:6" ht="33.75" thickBot="1">
      <c r="A100" s="23"/>
      <c r="B100" s="24"/>
      <c r="C100" s="25" t="s">
        <v>56</v>
      </c>
      <c r="D100" s="26">
        <f>SUM(D92:D98)</f>
        <v>7232887.5316027394</v>
      </c>
      <c r="F100" s="64">
        <f>SUM(F92:F98)</f>
        <v>6350220</v>
      </c>
    </row>
    <row r="101" spans="1:6" ht="17.25" thickBot="1">
      <c r="A101" s="41"/>
      <c r="B101" s="42"/>
      <c r="C101" s="43"/>
      <c r="D101" s="44"/>
      <c r="F101" s="37"/>
    </row>
    <row r="102" spans="1:6" ht="39" thickBot="1">
      <c r="A102" s="45" t="s">
        <v>11</v>
      </c>
      <c r="B102" s="46" t="s">
        <v>12</v>
      </c>
      <c r="C102" s="46" t="s">
        <v>13</v>
      </c>
      <c r="D102" s="47" t="s">
        <v>14</v>
      </c>
      <c r="F102" s="59" t="s">
        <v>77</v>
      </c>
    </row>
    <row r="103" spans="1:6" ht="15.75">
      <c r="A103" s="6" t="s">
        <v>57</v>
      </c>
      <c r="B103" s="7"/>
      <c r="C103" s="8"/>
      <c r="D103" s="9"/>
      <c r="F103" s="60"/>
    </row>
    <row r="104" spans="1:6" ht="15.75">
      <c r="A104" s="10">
        <f>A98-A132</f>
        <v>12700440</v>
      </c>
      <c r="B104" s="11">
        <v>0.05</v>
      </c>
      <c r="C104" s="12">
        <f>(A104*B104)/365*90</f>
        <v>156580.76712328766</v>
      </c>
      <c r="D104" s="13">
        <f>C104+A132</f>
        <v>1744135.7671232875</v>
      </c>
      <c r="F104" s="61">
        <f>$A$132</f>
        <v>1587555</v>
      </c>
    </row>
    <row r="105" spans="1:6" ht="15.75">
      <c r="A105" s="10" t="s">
        <v>58</v>
      </c>
      <c r="B105" s="11"/>
      <c r="C105" s="12"/>
      <c r="D105" s="13"/>
      <c r="F105" s="61"/>
    </row>
    <row r="106" spans="1:6" ht="15.75">
      <c r="A106" s="10">
        <f>A104-A132</f>
        <v>11112885</v>
      </c>
      <c r="B106" s="11">
        <v>0.05</v>
      </c>
      <c r="C106" s="12">
        <f>(A106*B106)/365*91</f>
        <v>138530.48424657533</v>
      </c>
      <c r="D106" s="13">
        <f>C106+A132</f>
        <v>1726085.4842465753</v>
      </c>
      <c r="F106" s="61">
        <f>$A$132</f>
        <v>1587555</v>
      </c>
    </row>
    <row r="107" spans="1:6" ht="15.75">
      <c r="A107" s="10" t="s">
        <v>59</v>
      </c>
      <c r="B107" s="11"/>
      <c r="C107" s="12"/>
      <c r="D107" s="13"/>
      <c r="F107" s="61"/>
    </row>
    <row r="108" spans="1:6" ht="15.75">
      <c r="A108" s="10">
        <f>A106-A132</f>
        <v>9525330</v>
      </c>
      <c r="B108" s="11">
        <v>0.05</v>
      </c>
      <c r="C108" s="12">
        <f>(A108*B108)/365*92</f>
        <v>120045.25479452056</v>
      </c>
      <c r="D108" s="13">
        <f>C108+A132</f>
        <v>1707600.2547945206</v>
      </c>
      <c r="F108" s="61">
        <f>$A$132</f>
        <v>1587555</v>
      </c>
    </row>
    <row r="109" spans="1:6" ht="15.75">
      <c r="A109" s="10" t="s">
        <v>60</v>
      </c>
      <c r="B109" s="11"/>
      <c r="C109" s="12"/>
      <c r="D109" s="13"/>
      <c r="F109" s="61"/>
    </row>
    <row r="110" spans="1:6" ht="16.5" thickBot="1">
      <c r="A110" s="10">
        <f>A108-A132</f>
        <v>7937775</v>
      </c>
      <c r="B110" s="11">
        <v>0.05</v>
      </c>
      <c r="C110" s="14">
        <f>(A110*B110)/365*92</f>
        <v>100037.71232876711</v>
      </c>
      <c r="D110" s="13">
        <f>C110+A132</f>
        <v>1687592.7123287672</v>
      </c>
      <c r="F110" s="61">
        <f>$A$132</f>
        <v>1587555</v>
      </c>
    </row>
    <row r="111" spans="1:6" ht="15.75">
      <c r="A111" s="15"/>
      <c r="B111" s="16" t="s">
        <v>19</v>
      </c>
      <c r="C111" s="17">
        <f>SUM(C104:C110)</f>
        <v>515194.21849315066</v>
      </c>
      <c r="D111" s="18"/>
      <c r="F111" s="62"/>
    </row>
    <row r="112" spans="1:6" ht="33.75" thickBot="1">
      <c r="A112" s="23"/>
      <c r="B112" s="24"/>
      <c r="C112" s="25" t="s">
        <v>61</v>
      </c>
      <c r="D112" s="26">
        <f>SUM(D104:D110)</f>
        <v>6865414.2184931505</v>
      </c>
      <c r="F112" s="64">
        <f>SUM(F104:F110)</f>
        <v>6350220</v>
      </c>
    </row>
    <row r="113" spans="1:6" ht="17.25" thickBot="1">
      <c r="A113" s="41"/>
      <c r="B113" s="42"/>
      <c r="C113" s="43"/>
      <c r="D113" s="44"/>
      <c r="F113" s="37"/>
    </row>
    <row r="114" spans="1:6" ht="39" thickBot="1">
      <c r="A114" s="45" t="s">
        <v>11</v>
      </c>
      <c r="B114" s="46" t="s">
        <v>12</v>
      </c>
      <c r="C114" s="46" t="s">
        <v>13</v>
      </c>
      <c r="D114" s="47" t="s">
        <v>14</v>
      </c>
      <c r="F114" s="59" t="s">
        <v>77</v>
      </c>
    </row>
    <row r="115" spans="1:6" ht="15.75">
      <c r="A115" s="6" t="s">
        <v>62</v>
      </c>
      <c r="B115" s="7"/>
      <c r="C115" s="8"/>
      <c r="D115" s="9"/>
      <c r="F115" s="60"/>
    </row>
    <row r="116" spans="1:6" ht="15.75">
      <c r="A116" s="10">
        <f>A110-A132</f>
        <v>6350220</v>
      </c>
      <c r="B116" s="11">
        <v>0.05</v>
      </c>
      <c r="C116" s="12">
        <f>(A116*B116)/365*91</f>
        <v>79160.276712328763</v>
      </c>
      <c r="D116" s="13">
        <f>C116+A132</f>
        <v>1666715.2767123287</v>
      </c>
      <c r="F116" s="61">
        <f>$A$132</f>
        <v>1587555</v>
      </c>
    </row>
    <row r="117" spans="1:6" ht="15.75">
      <c r="A117" s="10" t="s">
        <v>63</v>
      </c>
      <c r="B117" s="11"/>
      <c r="C117" s="12"/>
      <c r="D117" s="13"/>
      <c r="F117" s="61"/>
    </row>
    <row r="118" spans="1:6" ht="15.75">
      <c r="A118" s="10">
        <f>A116-A132</f>
        <v>4762665</v>
      </c>
      <c r="B118" s="11">
        <v>0.05</v>
      </c>
      <c r="C118" s="12">
        <f>(A118*B118)/365*91</f>
        <v>59370.207534246576</v>
      </c>
      <c r="D118" s="13">
        <f>C118+A132</f>
        <v>1646925.2075342466</v>
      </c>
      <c r="F118" s="61">
        <f>$A$132</f>
        <v>1587555</v>
      </c>
    </row>
    <row r="119" spans="1:6" ht="15.75">
      <c r="A119" s="10" t="s">
        <v>64</v>
      </c>
      <c r="B119" s="11"/>
      <c r="C119" s="12"/>
      <c r="D119" s="13"/>
      <c r="F119" s="61"/>
    </row>
    <row r="120" spans="1:6" ht="15.75">
      <c r="A120" s="10">
        <f>A118-A132</f>
        <v>3175110</v>
      </c>
      <c r="B120" s="11">
        <v>0.05</v>
      </c>
      <c r="C120" s="12">
        <f>(A120*B120)/365*92</f>
        <v>40015.084931506848</v>
      </c>
      <c r="D120" s="13">
        <f>C120+A132</f>
        <v>1627570.0849315068</v>
      </c>
      <c r="F120" s="61">
        <f>$A$132</f>
        <v>1587555</v>
      </c>
    </row>
    <row r="121" spans="1:6" ht="15.75">
      <c r="A121" s="10" t="s">
        <v>65</v>
      </c>
      <c r="B121" s="11"/>
      <c r="C121" s="12"/>
      <c r="D121" s="13"/>
      <c r="F121" s="61"/>
    </row>
    <row r="122" spans="1:6" ht="16.5" thickBot="1">
      <c r="A122" s="10">
        <f>A120-A132</f>
        <v>1587555</v>
      </c>
      <c r="B122" s="11">
        <v>0.05</v>
      </c>
      <c r="C122" s="14">
        <f>(A122*B122)/365*92</f>
        <v>20007.542465753424</v>
      </c>
      <c r="D122" s="13">
        <f>C122+A132</f>
        <v>1607562.5424657534</v>
      </c>
      <c r="F122" s="61">
        <f>$A$132</f>
        <v>1587555</v>
      </c>
    </row>
    <row r="123" spans="1:6" ht="15.75">
      <c r="A123" s="15"/>
      <c r="B123" s="16" t="s">
        <v>19</v>
      </c>
      <c r="C123" s="17">
        <f>SUM(C116:C122)</f>
        <v>198553.11164383558</v>
      </c>
      <c r="D123" s="18"/>
      <c r="F123" s="62"/>
    </row>
    <row r="124" spans="1:6" ht="33.75" thickBot="1">
      <c r="A124" s="23"/>
      <c r="B124" s="24"/>
      <c r="C124" s="25" t="s">
        <v>66</v>
      </c>
      <c r="D124" s="26">
        <f>SUM(D116:D122)</f>
        <v>6548773.1116438359</v>
      </c>
      <c r="F124" s="64">
        <f>SUM(F116:F122)</f>
        <v>6350220</v>
      </c>
    </row>
    <row r="125" spans="1:6" ht="16.5">
      <c r="A125" s="41"/>
      <c r="B125" s="42"/>
      <c r="C125" s="43"/>
      <c r="D125" s="44"/>
    </row>
    <row r="126" spans="1:6" ht="18">
      <c r="A126" s="428" t="s">
        <v>67</v>
      </c>
      <c r="B126" s="428"/>
      <c r="C126" s="428"/>
      <c r="D126" s="48">
        <f>SUM(D128:D130)</f>
        <v>73359758.444698632</v>
      </c>
      <c r="F126" s="375">
        <f>SUM(F16,F28,F40,F52,F64,F76,F88,F100,F112,F124)</f>
        <v>57152000</v>
      </c>
    </row>
    <row r="127" spans="1:6" ht="16.5">
      <c r="A127" s="429" t="s">
        <v>68</v>
      </c>
      <c r="B127" s="429"/>
      <c r="C127" s="429"/>
      <c r="D127" s="49"/>
    </row>
    <row r="128" spans="1:6">
      <c r="A128" s="425" t="s">
        <v>69</v>
      </c>
      <c r="B128" s="425"/>
      <c r="C128" s="425"/>
      <c r="D128" s="50">
        <f>A132*35+A133</f>
        <v>57152000</v>
      </c>
    </row>
    <row r="129" spans="1:4">
      <c r="A129" s="425" t="s">
        <v>70</v>
      </c>
      <c r="B129" s="425"/>
      <c r="C129" s="425"/>
      <c r="D129" s="50">
        <f>SUM(C14,C27,C39,C51,C63,C75,C87,C99,C111,C123)</f>
        <v>16156321.644698631</v>
      </c>
    </row>
    <row r="130" spans="1:4">
      <c r="A130" s="425" t="s">
        <v>71</v>
      </c>
      <c r="B130" s="425"/>
      <c r="C130" s="425"/>
      <c r="D130" s="50">
        <f>C15</f>
        <v>51436.799999999996</v>
      </c>
    </row>
    <row r="131" spans="1:4">
      <c r="A131" s="51" t="s">
        <v>72</v>
      </c>
      <c r="B131" s="52"/>
    </row>
    <row r="132" spans="1:4" ht="15.75">
      <c r="A132" s="372">
        <v>1587555</v>
      </c>
      <c r="B132" s="29" t="s">
        <v>316</v>
      </c>
    </row>
    <row r="133" spans="1:4" ht="15.75">
      <c r="A133" s="380">
        <v>1587575</v>
      </c>
      <c r="B133" s="27" t="s">
        <v>145</v>
      </c>
      <c r="D133" s="29">
        <f>SUM(D129:D130)</f>
        <v>16207758.444698632</v>
      </c>
    </row>
    <row r="135" spans="1:4" ht="15.75">
      <c r="A135" t="s">
        <v>73</v>
      </c>
      <c r="B135" s="54">
        <v>3.8600000000000002E-2</v>
      </c>
    </row>
    <row r="136" spans="1:4">
      <c r="A136" s="52" t="s">
        <v>74</v>
      </c>
      <c r="B136" s="55">
        <v>1.6578999999999999</v>
      </c>
    </row>
    <row r="137" spans="1:4">
      <c r="A137" s="52" t="s">
        <v>75</v>
      </c>
    </row>
    <row r="138" spans="1:4">
      <c r="B138" s="263">
        <f>3.86*165.79%</f>
        <v>6.3994939999999998</v>
      </c>
    </row>
    <row r="140" spans="1:4">
      <c r="B140">
        <v>18500000</v>
      </c>
    </row>
  </sheetData>
  <mergeCells count="7">
    <mergeCell ref="A130:C130"/>
    <mergeCell ref="A2:F2"/>
    <mergeCell ref="A3:D3"/>
    <mergeCell ref="A126:C126"/>
    <mergeCell ref="A127:C127"/>
    <mergeCell ref="A128:C128"/>
    <mergeCell ref="A129:C129"/>
  </mergeCells>
  <pageMargins left="0.22" right="0.22" top="0.28000000000000003" bottom="0.41" header="0.2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C00000"/>
  </sheetPr>
  <dimension ref="A2:G140"/>
  <sheetViews>
    <sheetView topLeftCell="A26" zoomScale="80" zoomScaleNormal="80" workbookViewId="0">
      <selection activeCell="K52" sqref="K52"/>
    </sheetView>
  </sheetViews>
  <sheetFormatPr defaultRowHeight="14.25"/>
  <cols>
    <col min="1" max="1" width="20" customWidth="1"/>
    <col min="2" max="2" width="17.5" customWidth="1"/>
    <col min="3" max="4" width="15.625" customWidth="1"/>
    <col min="5" max="5" width="2" customWidth="1"/>
    <col min="6" max="6" width="19.125" customWidth="1"/>
  </cols>
  <sheetData>
    <row r="2" spans="1:7" ht="67.5" customHeight="1">
      <c r="A2" s="426" t="s">
        <v>153</v>
      </c>
      <c r="B2" s="426"/>
      <c r="C2" s="426"/>
      <c r="D2" s="426"/>
      <c r="E2" s="426"/>
      <c r="F2" s="426"/>
    </row>
    <row r="3" spans="1:7">
      <c r="A3" s="427"/>
      <c r="B3" s="427"/>
      <c r="C3" s="427"/>
      <c r="D3" s="427"/>
      <c r="F3" s="57" t="s">
        <v>76</v>
      </c>
      <c r="G3" s="58"/>
    </row>
    <row r="4" spans="1:7" ht="15" thickBot="1">
      <c r="D4" s="2" t="s">
        <v>10</v>
      </c>
    </row>
    <row r="5" spans="1:7" ht="39" thickBot="1">
      <c r="A5" s="3" t="s">
        <v>11</v>
      </c>
      <c r="B5" s="4" t="s">
        <v>12</v>
      </c>
      <c r="C5" s="4" t="s">
        <v>13</v>
      </c>
      <c r="D5" s="5" t="s">
        <v>14</v>
      </c>
      <c r="F5" s="59" t="s">
        <v>77</v>
      </c>
    </row>
    <row r="6" spans="1:7" ht="15.75">
      <c r="A6" s="6" t="s">
        <v>79</v>
      </c>
      <c r="B6" s="7"/>
      <c r="C6" s="8"/>
      <c r="D6" s="9"/>
      <c r="F6" s="60"/>
    </row>
    <row r="7" spans="1:7" ht="15.75">
      <c r="A7" s="10"/>
      <c r="B7" s="11">
        <v>0</v>
      </c>
      <c r="C7" s="12">
        <f>(A7*B7)/365*90</f>
        <v>0</v>
      </c>
      <c r="D7" s="13">
        <v>0</v>
      </c>
      <c r="F7" s="61">
        <v>0</v>
      </c>
    </row>
    <row r="8" spans="1:7" ht="15.75">
      <c r="A8" s="10" t="s">
        <v>80</v>
      </c>
      <c r="B8" s="11"/>
      <c r="C8" s="12"/>
      <c r="D8" s="13"/>
      <c r="F8" s="61"/>
    </row>
    <row r="9" spans="1:7" ht="15.75">
      <c r="A9" s="10"/>
      <c r="B9" s="11">
        <v>0</v>
      </c>
      <c r="C9" s="12">
        <f>(A9*B9)/365*90</f>
        <v>0</v>
      </c>
      <c r="D9" s="13">
        <v>0</v>
      </c>
      <c r="F9" s="61">
        <v>0</v>
      </c>
    </row>
    <row r="10" spans="1:7" ht="15.75">
      <c r="A10" s="10" t="s">
        <v>81</v>
      </c>
      <c r="B10" s="11"/>
      <c r="C10" s="12"/>
      <c r="D10" s="13"/>
      <c r="F10" s="61"/>
    </row>
    <row r="11" spans="1:7" ht="15.75">
      <c r="A11" s="10"/>
      <c r="B11" s="11">
        <v>0</v>
      </c>
      <c r="C11" s="12">
        <f>(A11*B11)/365*90</f>
        <v>0</v>
      </c>
      <c r="D11" s="13">
        <v>0</v>
      </c>
      <c r="F11" s="61">
        <v>0</v>
      </c>
    </row>
    <row r="12" spans="1:7" ht="15.75">
      <c r="A12" s="10" t="s">
        <v>82</v>
      </c>
      <c r="B12" s="11"/>
      <c r="C12" s="12"/>
      <c r="D12" s="13"/>
      <c r="F12" s="61"/>
    </row>
    <row r="13" spans="1:7" ht="16.5" thickBot="1">
      <c r="A13" s="10">
        <f>'Zestawienie kredytów'!F26+'Zestawienie kredytów'!F27+'Zestawienie kredytów'!F28+'Zestawienie kredytów'!F29</f>
        <v>15581864.76</v>
      </c>
      <c r="B13" s="11">
        <v>0</v>
      </c>
      <c r="C13" s="14">
        <f>(A13*B13)/365*90</f>
        <v>0</v>
      </c>
      <c r="D13" s="13">
        <f>C13</f>
        <v>0</v>
      </c>
      <c r="F13" s="61">
        <f>E13</f>
        <v>0</v>
      </c>
    </row>
    <row r="14" spans="1:7" ht="15.75">
      <c r="A14" s="15"/>
      <c r="B14" s="16" t="s">
        <v>19</v>
      </c>
      <c r="C14" s="17">
        <f>SUM(C7:C13)</f>
        <v>0</v>
      </c>
      <c r="D14" s="18"/>
      <c r="F14" s="62"/>
    </row>
    <row r="15" spans="1:7" ht="15.75">
      <c r="A15" s="19"/>
      <c r="B15" s="20" t="s">
        <v>20</v>
      </c>
      <c r="C15" s="21">
        <f>0.09%*A13</f>
        <v>14023.678284</v>
      </c>
      <c r="D15" s="22"/>
      <c r="F15" s="63"/>
    </row>
    <row r="16" spans="1:7" ht="33.75" thickBot="1">
      <c r="A16" s="23"/>
      <c r="B16" s="24"/>
      <c r="C16" s="25" t="s">
        <v>78</v>
      </c>
      <c r="D16" s="26">
        <f>SUM(D7:D13)+C15</f>
        <v>14023.678284</v>
      </c>
      <c r="F16" s="64">
        <f>SUM(F7:F13)</f>
        <v>0</v>
      </c>
    </row>
    <row r="17" spans="1:6" ht="15" thickBot="1">
      <c r="A17" s="27"/>
      <c r="B17" s="27"/>
      <c r="C17" s="27"/>
      <c r="D17" s="27"/>
      <c r="F17" s="67"/>
    </row>
    <row r="18" spans="1:6" ht="39" thickBot="1">
      <c r="A18" s="3" t="s">
        <v>11</v>
      </c>
      <c r="B18" s="4" t="s">
        <v>12</v>
      </c>
      <c r="C18" s="4" t="s">
        <v>13</v>
      </c>
      <c r="D18" s="5" t="s">
        <v>14</v>
      </c>
      <c r="F18" s="59" t="s">
        <v>77</v>
      </c>
    </row>
    <row r="19" spans="1:6" ht="15.75">
      <c r="A19" s="6" t="s">
        <v>22</v>
      </c>
      <c r="B19" s="7"/>
      <c r="C19" s="8"/>
      <c r="D19" s="9"/>
      <c r="F19" s="60"/>
    </row>
    <row r="20" spans="1:6" ht="15.75">
      <c r="A20" s="10">
        <f>A13</f>
        <v>15581864.76</v>
      </c>
      <c r="B20" s="11">
        <v>5.8999999999999997E-2</v>
      </c>
      <c r="C20" s="12">
        <f>(A20*B20)/365*180</f>
        <v>453368.2294553424</v>
      </c>
      <c r="D20" s="13">
        <f>C20+A133</f>
        <v>886217.98945534241</v>
      </c>
      <c r="F20" s="61">
        <f>$A$133</f>
        <v>432849.76</v>
      </c>
    </row>
    <row r="21" spans="1:6" ht="15.75">
      <c r="A21" s="10" t="s">
        <v>23</v>
      </c>
      <c r="B21" s="11"/>
      <c r="C21" s="12"/>
      <c r="D21" s="13"/>
      <c r="F21" s="61"/>
    </row>
    <row r="22" spans="1:6" ht="15.75">
      <c r="A22" s="10">
        <f>A20-A133</f>
        <v>15149015</v>
      </c>
      <c r="B22" s="11">
        <v>5.8999999999999997E-2</v>
      </c>
      <c r="C22" s="12">
        <f>(A22*B22)/365*91</f>
        <v>222835.78502739724</v>
      </c>
      <c r="D22" s="13">
        <f>C22+A132</f>
        <v>655664.78502739721</v>
      </c>
      <c r="F22" s="61">
        <f>$A$132</f>
        <v>432829</v>
      </c>
    </row>
    <row r="23" spans="1:6" ht="15.75">
      <c r="A23" s="10" t="s">
        <v>24</v>
      </c>
      <c r="B23" s="11"/>
      <c r="C23" s="12"/>
      <c r="D23" s="13"/>
      <c r="F23" s="61"/>
    </row>
    <row r="24" spans="1:6" ht="15.75">
      <c r="A24" s="10">
        <f>A22-A132</f>
        <v>14716186</v>
      </c>
      <c r="B24" s="11">
        <v>6.5000000000000002E-2</v>
      </c>
      <c r="C24" s="12">
        <f>(A24*B24)/365*92</f>
        <v>241103.54049315071</v>
      </c>
      <c r="D24" s="13">
        <f>C24+A132</f>
        <v>673932.54049315071</v>
      </c>
      <c r="F24" s="61">
        <f>$A$132</f>
        <v>432829</v>
      </c>
    </row>
    <row r="25" spans="1:6" ht="15.75">
      <c r="A25" s="10" t="s">
        <v>25</v>
      </c>
      <c r="B25" s="11"/>
      <c r="C25" s="12"/>
      <c r="D25" s="13"/>
      <c r="F25" s="61"/>
    </row>
    <row r="26" spans="1:6" ht="16.5" thickBot="1">
      <c r="A26" s="10">
        <f>A24-A132</f>
        <v>14283357</v>
      </c>
      <c r="B26" s="11">
        <v>6.5000000000000002E-2</v>
      </c>
      <c r="C26" s="14">
        <f>(A26*B26)/365*92</f>
        <v>234012.25989041099</v>
      </c>
      <c r="D26" s="13">
        <f>C26+A132</f>
        <v>666841.25989041105</v>
      </c>
      <c r="F26" s="61">
        <f>$A$132</f>
        <v>432829</v>
      </c>
    </row>
    <row r="27" spans="1:6" ht="15.75">
      <c r="A27" s="15"/>
      <c r="B27" s="16" t="s">
        <v>19</v>
      </c>
      <c r="C27" s="17">
        <f>SUM(C20:C26)</f>
        <v>1151319.8148663014</v>
      </c>
      <c r="D27" s="18"/>
      <c r="F27" s="62"/>
    </row>
    <row r="28" spans="1:6" ht="33.75" thickBot="1">
      <c r="A28" s="23"/>
      <c r="B28" s="24"/>
      <c r="C28" s="25" t="s">
        <v>26</v>
      </c>
      <c r="D28" s="26">
        <f>SUM(D20:D26)</f>
        <v>2882656.5748663014</v>
      </c>
      <c r="F28" s="64">
        <f>SUM(F20:F26)</f>
        <v>1731336.76</v>
      </c>
    </row>
    <row r="29" spans="1:6" ht="15" thickBot="1">
      <c r="A29" s="27"/>
      <c r="B29" s="28"/>
      <c r="C29" s="29"/>
      <c r="D29" s="27"/>
      <c r="F29" s="67"/>
    </row>
    <row r="30" spans="1:6" ht="39" thickBot="1">
      <c r="A30" s="3" t="s">
        <v>11</v>
      </c>
      <c r="B30" s="4" t="s">
        <v>12</v>
      </c>
      <c r="C30" s="4" t="s">
        <v>13</v>
      </c>
      <c r="D30" s="5" t="s">
        <v>14</v>
      </c>
      <c r="F30" s="59" t="s">
        <v>77</v>
      </c>
    </row>
    <row r="31" spans="1:6" ht="15.75">
      <c r="A31" s="6" t="s">
        <v>27</v>
      </c>
      <c r="B31" s="7"/>
      <c r="C31" s="8"/>
      <c r="D31" s="9"/>
      <c r="F31" s="60"/>
    </row>
    <row r="32" spans="1:6" ht="15.75">
      <c r="A32" s="10">
        <f>A26-A132</f>
        <v>13850528</v>
      </c>
      <c r="B32" s="11">
        <v>6.5000000000000002E-2</v>
      </c>
      <c r="C32" s="12">
        <f>(A32*B32)/365*90</f>
        <v>221987.91452054796</v>
      </c>
      <c r="D32" s="13">
        <f>C32+A132</f>
        <v>654816.91452054796</v>
      </c>
      <c r="F32" s="61">
        <f>$A$132</f>
        <v>432829</v>
      </c>
    </row>
    <row r="33" spans="1:6" ht="15.75">
      <c r="A33" s="10" t="s">
        <v>28</v>
      </c>
      <c r="B33" s="11"/>
      <c r="C33" s="12"/>
      <c r="D33" s="13"/>
      <c r="F33" s="61"/>
    </row>
    <row r="34" spans="1:6" ht="15.75">
      <c r="A34" s="10">
        <f>A32-A132</f>
        <v>13417699</v>
      </c>
      <c r="B34" s="11">
        <v>6.5000000000000002E-2</v>
      </c>
      <c r="C34" s="12">
        <f>(A34*B34)/365*91</f>
        <v>217440.24543835619</v>
      </c>
      <c r="D34" s="13">
        <f>C34+A132</f>
        <v>650269.24543835619</v>
      </c>
      <c r="F34" s="61">
        <f>$A$132</f>
        <v>432829</v>
      </c>
    </row>
    <row r="35" spans="1:6" ht="15.75">
      <c r="A35" s="10" t="s">
        <v>29</v>
      </c>
      <c r="B35" s="11"/>
      <c r="C35" s="12"/>
      <c r="D35" s="13"/>
      <c r="F35" s="61"/>
    </row>
    <row r="36" spans="1:6" ht="15.75">
      <c r="A36" s="10">
        <f>A34-A132</f>
        <v>12984870</v>
      </c>
      <c r="B36" s="11">
        <v>6.5000000000000002E-2</v>
      </c>
      <c r="C36" s="12">
        <f>(A36*B36)/365*92</f>
        <v>212738.41808219181</v>
      </c>
      <c r="D36" s="13">
        <f>C36+A132</f>
        <v>645567.41808219184</v>
      </c>
      <c r="F36" s="61">
        <f>$A$132</f>
        <v>432829</v>
      </c>
    </row>
    <row r="37" spans="1:6" ht="15.75">
      <c r="A37" s="10" t="s">
        <v>30</v>
      </c>
      <c r="B37" s="11"/>
      <c r="C37" s="12"/>
      <c r="D37" s="13"/>
      <c r="F37" s="61"/>
    </row>
    <row r="38" spans="1:6" ht="16.5" thickBot="1">
      <c r="A38" s="10">
        <f>A36-A132</f>
        <v>12552041</v>
      </c>
      <c r="B38" s="11">
        <v>6.5000000000000002E-2</v>
      </c>
      <c r="C38" s="14">
        <f>(A38*B38)/365*92</f>
        <v>205647.13747945207</v>
      </c>
      <c r="D38" s="13">
        <f>C38+A132</f>
        <v>638476.13747945207</v>
      </c>
      <c r="F38" s="61">
        <f>$A$132</f>
        <v>432829</v>
      </c>
    </row>
    <row r="39" spans="1:6" ht="15.75">
      <c r="A39" s="15"/>
      <c r="B39" s="16" t="s">
        <v>19</v>
      </c>
      <c r="C39" s="17">
        <f>SUM(C32:C38)</f>
        <v>857813.71552054805</v>
      </c>
      <c r="D39" s="18"/>
      <c r="F39" s="62"/>
    </row>
    <row r="40" spans="1:6" ht="33.75" thickBot="1">
      <c r="A40" s="30"/>
      <c r="B40" s="31"/>
      <c r="C40" s="32" t="s">
        <v>31</v>
      </c>
      <c r="D40" s="33">
        <f>SUM(D32:D38)</f>
        <v>2589129.7155205482</v>
      </c>
      <c r="F40" s="66">
        <f>SUM(F32:F38)</f>
        <v>1731316</v>
      </c>
    </row>
    <row r="41" spans="1:6" ht="17.25" thickBot="1">
      <c r="A41" s="34"/>
      <c r="B41" s="35"/>
      <c r="C41" s="36"/>
      <c r="D41" s="37"/>
      <c r="F41" s="37"/>
    </row>
    <row r="42" spans="1:6" ht="39" thickBot="1">
      <c r="A42" s="38" t="s">
        <v>11</v>
      </c>
      <c r="B42" s="39" t="s">
        <v>12</v>
      </c>
      <c r="C42" s="39" t="s">
        <v>13</v>
      </c>
      <c r="D42" s="40" t="s">
        <v>14</v>
      </c>
      <c r="F42" s="59" t="s">
        <v>77</v>
      </c>
    </row>
    <row r="43" spans="1:6" ht="15.75">
      <c r="A43" s="6" t="s">
        <v>32</v>
      </c>
      <c r="B43" s="7"/>
      <c r="C43" s="8"/>
      <c r="D43" s="9"/>
      <c r="F43" s="60"/>
    </row>
    <row r="44" spans="1:6" ht="15.75">
      <c r="A44" s="10">
        <f>A38-A132</f>
        <v>12119212</v>
      </c>
      <c r="B44" s="11">
        <v>6.3E-2</v>
      </c>
      <c r="C44" s="12">
        <f>(A44*B44)/365*90</f>
        <v>188262.82750684931</v>
      </c>
      <c r="D44" s="13">
        <f>C44+A132</f>
        <v>621091.82750684931</v>
      </c>
      <c r="F44" s="61">
        <f>$A$132</f>
        <v>432829</v>
      </c>
    </row>
    <row r="45" spans="1:6" ht="15.75">
      <c r="A45" s="10" t="s">
        <v>33</v>
      </c>
      <c r="B45" s="11"/>
      <c r="C45" s="12"/>
      <c r="D45" s="13"/>
      <c r="F45" s="61"/>
    </row>
    <row r="46" spans="1:6" ht="15.75">
      <c r="A46" s="10">
        <f>A44-A132</f>
        <v>11686383</v>
      </c>
      <c r="B46" s="11">
        <v>6.3E-2</v>
      </c>
      <c r="C46" s="12">
        <f>(A46*B46)/365*91</f>
        <v>183556.25681917806</v>
      </c>
      <c r="D46" s="13">
        <f>C46+A132</f>
        <v>616385.25681917812</v>
      </c>
      <c r="F46" s="61">
        <f>$A$132</f>
        <v>432829</v>
      </c>
    </row>
    <row r="47" spans="1:6" ht="15.75">
      <c r="A47" s="10" t="s">
        <v>34</v>
      </c>
      <c r="B47" s="11"/>
      <c r="C47" s="12"/>
      <c r="D47" s="13"/>
      <c r="F47" s="61"/>
    </row>
    <row r="48" spans="1:6" ht="15.75">
      <c r="A48" s="10">
        <f>A46-A132</f>
        <v>11253554</v>
      </c>
      <c r="B48" s="11">
        <v>0.06</v>
      </c>
      <c r="C48" s="12">
        <f>(A48*B48)/365*92</f>
        <v>170190.73446575343</v>
      </c>
      <c r="D48" s="13">
        <f>C48+A132</f>
        <v>603019.73446575343</v>
      </c>
      <c r="F48" s="61">
        <f>$A$132</f>
        <v>432829</v>
      </c>
    </row>
    <row r="49" spans="1:6" ht="15.75">
      <c r="A49" s="10" t="s">
        <v>35</v>
      </c>
      <c r="B49" s="11"/>
      <c r="C49" s="12"/>
      <c r="D49" s="13"/>
      <c r="F49" s="61"/>
    </row>
    <row r="50" spans="1:6" ht="16.5" thickBot="1">
      <c r="A50" s="10">
        <f>A48-A132</f>
        <v>10820725</v>
      </c>
      <c r="B50" s="11">
        <v>0.06</v>
      </c>
      <c r="C50" s="14">
        <f>(A50*B50)/365*92</f>
        <v>163644.93698630139</v>
      </c>
      <c r="D50" s="13">
        <f>C50+A132</f>
        <v>596473.93698630133</v>
      </c>
      <c r="F50" s="61">
        <f>$A$132</f>
        <v>432829</v>
      </c>
    </row>
    <row r="51" spans="1:6" ht="15.75">
      <c r="A51" s="15"/>
      <c r="B51" s="16" t="s">
        <v>19</v>
      </c>
      <c r="C51" s="17">
        <f>SUM(C44:C50)</f>
        <v>705654.75577808218</v>
      </c>
      <c r="D51" s="18"/>
      <c r="F51" s="62"/>
    </row>
    <row r="52" spans="1:6" ht="33.75" thickBot="1">
      <c r="A52" s="23"/>
      <c r="B52" s="24"/>
      <c r="C52" s="25" t="s">
        <v>36</v>
      </c>
      <c r="D52" s="26">
        <f>SUM(D44:D50)</f>
        <v>2436970.7557780822</v>
      </c>
      <c r="F52" s="64">
        <f>SUM(F44:F50)</f>
        <v>1731316</v>
      </c>
    </row>
    <row r="53" spans="1:6" ht="17.25" thickBot="1">
      <c r="A53" s="41"/>
      <c r="B53" s="42"/>
      <c r="C53" s="43"/>
      <c r="D53" s="44"/>
      <c r="F53" s="37"/>
    </row>
    <row r="54" spans="1:6" ht="39" thickBot="1">
      <c r="A54" s="45" t="s">
        <v>11</v>
      </c>
      <c r="B54" s="46" t="s">
        <v>12</v>
      </c>
      <c r="C54" s="46" t="s">
        <v>13</v>
      </c>
      <c r="D54" s="47" t="s">
        <v>14</v>
      </c>
      <c r="F54" s="59" t="s">
        <v>77</v>
      </c>
    </row>
    <row r="55" spans="1:6" ht="15.75">
      <c r="A55" s="6" t="s">
        <v>37</v>
      </c>
      <c r="B55" s="7"/>
      <c r="C55" s="8"/>
      <c r="D55" s="9"/>
      <c r="F55" s="60"/>
    </row>
    <row r="56" spans="1:6" ht="15.75">
      <c r="A56" s="10">
        <f>A50-A132</f>
        <v>10387896</v>
      </c>
      <c r="B56" s="11">
        <v>0.06</v>
      </c>
      <c r="C56" s="12">
        <f>(A56*B56)/365*90</f>
        <v>153683.94082191781</v>
      </c>
      <c r="D56" s="13">
        <f>C56+A132</f>
        <v>586512.94082191784</v>
      </c>
      <c r="F56" s="61">
        <f>$A$132</f>
        <v>432829</v>
      </c>
    </row>
    <row r="57" spans="1:6" ht="15.75">
      <c r="A57" s="10" t="s">
        <v>38</v>
      </c>
      <c r="B57" s="11"/>
      <c r="C57" s="12"/>
      <c r="D57" s="13"/>
      <c r="F57" s="61"/>
    </row>
    <row r="58" spans="1:6" ht="15.75">
      <c r="A58" s="10">
        <f>A56-A132</f>
        <v>9955067</v>
      </c>
      <c r="B58" s="11">
        <v>0.06</v>
      </c>
      <c r="C58" s="12">
        <f>(A58*B58)/365*91</f>
        <v>148916.89265753425</v>
      </c>
      <c r="D58" s="13">
        <f>C58+A132</f>
        <v>581745.89265753422</v>
      </c>
      <c r="F58" s="61">
        <f>$A$132</f>
        <v>432829</v>
      </c>
    </row>
    <row r="59" spans="1:6" ht="15.75">
      <c r="A59" s="10" t="s">
        <v>39</v>
      </c>
      <c r="B59" s="11"/>
      <c r="C59" s="12"/>
      <c r="D59" s="13"/>
      <c r="F59" s="61"/>
    </row>
    <row r="60" spans="1:6" ht="15.75">
      <c r="A60" s="10">
        <f>A58-A132</f>
        <v>9522238</v>
      </c>
      <c r="B60" s="11">
        <v>0.06</v>
      </c>
      <c r="C60" s="12">
        <f>(A60*B60)/365*92</f>
        <v>144007.5445479452</v>
      </c>
      <c r="D60" s="13">
        <f>C60+A132</f>
        <v>576836.54454794526</v>
      </c>
      <c r="F60" s="61">
        <f>$A$132</f>
        <v>432829</v>
      </c>
    </row>
    <row r="61" spans="1:6" ht="15.75">
      <c r="A61" s="10" t="s">
        <v>40</v>
      </c>
      <c r="B61" s="11"/>
      <c r="C61" s="12"/>
      <c r="D61" s="13"/>
      <c r="F61" s="61"/>
    </row>
    <row r="62" spans="1:6" ht="16.5" thickBot="1">
      <c r="A62" s="10">
        <f>A60-A132</f>
        <v>9089409</v>
      </c>
      <c r="B62" s="11">
        <v>0.06</v>
      </c>
      <c r="C62" s="14">
        <f>(A62*B62)/365*92</f>
        <v>137461.74706849316</v>
      </c>
      <c r="D62" s="13">
        <f>C62+A132</f>
        <v>570290.74706849316</v>
      </c>
      <c r="F62" s="61">
        <f>$A$132</f>
        <v>432829</v>
      </c>
    </row>
    <row r="63" spans="1:6" ht="15.75">
      <c r="A63" s="15"/>
      <c r="B63" s="16" t="s">
        <v>19</v>
      </c>
      <c r="C63" s="17">
        <f>SUM(C56:C62)</f>
        <v>584070.12509589037</v>
      </c>
      <c r="D63" s="18"/>
      <c r="F63" s="62"/>
    </row>
    <row r="64" spans="1:6" ht="33.75" thickBot="1">
      <c r="A64" s="23"/>
      <c r="B64" s="24"/>
      <c r="C64" s="25" t="s">
        <v>41</v>
      </c>
      <c r="D64" s="26">
        <f>SUM(D56:D62)</f>
        <v>2315386.1250958904</v>
      </c>
      <c r="F64" s="64">
        <f>SUM(F56:F62)</f>
        <v>1731316</v>
      </c>
    </row>
    <row r="65" spans="1:6" ht="17.25" thickBot="1">
      <c r="A65" s="41"/>
      <c r="B65" s="42"/>
      <c r="C65" s="43"/>
      <c r="D65" s="44"/>
      <c r="F65" s="37"/>
    </row>
    <row r="66" spans="1:6" ht="39" thickBot="1">
      <c r="A66" s="45" t="s">
        <v>11</v>
      </c>
      <c r="B66" s="46" t="s">
        <v>12</v>
      </c>
      <c r="C66" s="46" t="s">
        <v>13</v>
      </c>
      <c r="D66" s="47" t="s">
        <v>14</v>
      </c>
      <c r="F66" s="59" t="s">
        <v>77</v>
      </c>
    </row>
    <row r="67" spans="1:6" ht="15.75">
      <c r="A67" s="6" t="s">
        <v>42</v>
      </c>
      <c r="B67" s="7"/>
      <c r="C67" s="8"/>
      <c r="D67" s="9"/>
      <c r="F67" s="60"/>
    </row>
    <row r="68" spans="1:6" ht="15.75">
      <c r="A68" s="10">
        <f>A62-A132</f>
        <v>8656580</v>
      </c>
      <c r="B68" s="11">
        <v>5.5E-2</v>
      </c>
      <c r="C68" s="12">
        <f>(A68*B68)/365*91</f>
        <v>118701.87095890411</v>
      </c>
      <c r="D68" s="13">
        <f>C68+A132</f>
        <v>551530.87095890415</v>
      </c>
      <c r="F68" s="61">
        <f>$A$132</f>
        <v>432829</v>
      </c>
    </row>
    <row r="69" spans="1:6" ht="15.75">
      <c r="A69" s="10" t="s">
        <v>43</v>
      </c>
      <c r="B69" s="11"/>
      <c r="C69" s="12"/>
      <c r="D69" s="13"/>
      <c r="F69" s="61"/>
    </row>
    <row r="70" spans="1:6" ht="15.75">
      <c r="A70" s="10">
        <f>A68-A132</f>
        <v>8223751</v>
      </c>
      <c r="B70" s="11">
        <v>5.5E-2</v>
      </c>
      <c r="C70" s="12">
        <f>(A70*B70)/365*91</f>
        <v>112766.77741095891</v>
      </c>
      <c r="D70" s="13">
        <f>C70+A132</f>
        <v>545595.77741095889</v>
      </c>
      <c r="F70" s="61">
        <f>$A$132</f>
        <v>432829</v>
      </c>
    </row>
    <row r="71" spans="1:6" ht="15.75">
      <c r="A71" s="10" t="s">
        <v>44</v>
      </c>
      <c r="B71" s="11"/>
      <c r="C71" s="12"/>
      <c r="D71" s="13"/>
      <c r="F71" s="61"/>
    </row>
    <row r="72" spans="1:6" ht="15.75">
      <c r="A72" s="10">
        <f>A70-A132</f>
        <v>7790922</v>
      </c>
      <c r="B72" s="11">
        <v>5.5E-2</v>
      </c>
      <c r="C72" s="12">
        <f>(A72*B72)/365*92</f>
        <v>108005.65841095892</v>
      </c>
      <c r="D72" s="13">
        <f>C72+A132</f>
        <v>540834.65841095895</v>
      </c>
      <c r="F72" s="61">
        <f>$A$132</f>
        <v>432829</v>
      </c>
    </row>
    <row r="73" spans="1:6" ht="15.75">
      <c r="A73" s="10" t="s">
        <v>45</v>
      </c>
      <c r="B73" s="11"/>
      <c r="C73" s="12"/>
      <c r="D73" s="13"/>
      <c r="F73" s="61"/>
    </row>
    <row r="74" spans="1:6" ht="16.5" thickBot="1">
      <c r="A74" s="10">
        <f>A72-A132</f>
        <v>7358093</v>
      </c>
      <c r="B74" s="11">
        <v>5.5E-2</v>
      </c>
      <c r="C74" s="14">
        <f>(A74*B74)/365*92</f>
        <v>102005.34405479452</v>
      </c>
      <c r="D74" s="13">
        <f>C74+A132</f>
        <v>534834.34405479452</v>
      </c>
      <c r="F74" s="61">
        <f>$A$132</f>
        <v>432829</v>
      </c>
    </row>
    <row r="75" spans="1:6" ht="15.75">
      <c r="A75" s="15"/>
      <c r="B75" s="16" t="s">
        <v>19</v>
      </c>
      <c r="C75" s="17">
        <f>SUM(C68:C74)</f>
        <v>441479.65083561646</v>
      </c>
      <c r="D75" s="18"/>
      <c r="F75" s="62"/>
    </row>
    <row r="76" spans="1:6" ht="33.75" thickBot="1">
      <c r="A76" s="23"/>
      <c r="B76" s="24"/>
      <c r="C76" s="25" t="s">
        <v>46</v>
      </c>
      <c r="D76" s="26">
        <f>SUM(D68:D74)</f>
        <v>2172795.6508356165</v>
      </c>
      <c r="F76" s="64">
        <f>SUM(F68:F74)</f>
        <v>1731316</v>
      </c>
    </row>
    <row r="77" spans="1:6" ht="17.25" thickBot="1">
      <c r="A77" s="41"/>
      <c r="B77" s="42"/>
      <c r="C77" s="43"/>
      <c r="D77" s="44"/>
      <c r="F77" s="37"/>
    </row>
    <row r="78" spans="1:6" ht="39" thickBot="1">
      <c r="A78" s="45" t="s">
        <v>11</v>
      </c>
      <c r="B78" s="46" t="s">
        <v>12</v>
      </c>
      <c r="C78" s="46" t="s">
        <v>13</v>
      </c>
      <c r="D78" s="47" t="s">
        <v>14</v>
      </c>
      <c r="F78" s="59" t="s">
        <v>77</v>
      </c>
    </row>
    <row r="79" spans="1:6" ht="15.75">
      <c r="A79" s="6" t="s">
        <v>47</v>
      </c>
      <c r="B79" s="7"/>
      <c r="C79" s="8"/>
      <c r="D79" s="9"/>
      <c r="F79" s="60"/>
    </row>
    <row r="80" spans="1:6" ht="15.75">
      <c r="A80" s="10">
        <f>A74-A132</f>
        <v>6925264</v>
      </c>
      <c r="B80" s="11">
        <v>5.5E-2</v>
      </c>
      <c r="C80" s="12">
        <f>(A80*B80)/365*90</f>
        <v>93917.963835616436</v>
      </c>
      <c r="D80" s="13">
        <f>C80+A132</f>
        <v>526746.96383561648</v>
      </c>
      <c r="F80" s="61">
        <f>$A$132</f>
        <v>432829</v>
      </c>
    </row>
    <row r="81" spans="1:6" ht="15.75">
      <c r="A81" s="10" t="s">
        <v>48</v>
      </c>
      <c r="B81" s="11"/>
      <c r="C81" s="12"/>
      <c r="D81" s="13"/>
      <c r="F81" s="61"/>
    </row>
    <row r="82" spans="1:6" ht="15.75">
      <c r="A82" s="10">
        <f>A80-A132</f>
        <v>6492435</v>
      </c>
      <c r="B82" s="11">
        <v>5.5E-2</v>
      </c>
      <c r="C82" s="12">
        <f>(A82*B82)/365*91</f>
        <v>89026.403219178072</v>
      </c>
      <c r="D82" s="13">
        <f>C82+A132</f>
        <v>521855.40321917809</v>
      </c>
      <c r="F82" s="61">
        <f>$A$132</f>
        <v>432829</v>
      </c>
    </row>
    <row r="83" spans="1:6" ht="15.75">
      <c r="A83" s="10" t="s">
        <v>49</v>
      </c>
      <c r="B83" s="11"/>
      <c r="C83" s="12"/>
      <c r="D83" s="13"/>
      <c r="F83" s="61"/>
    </row>
    <row r="84" spans="1:6" ht="15.75">
      <c r="A84" s="10">
        <f>A82-A132</f>
        <v>6059606</v>
      </c>
      <c r="B84" s="11">
        <v>5.5E-2</v>
      </c>
      <c r="C84" s="12">
        <f>(A84*B84)/365*92</f>
        <v>84004.400986301363</v>
      </c>
      <c r="D84" s="13">
        <f>C84+A132</f>
        <v>516833.40098630136</v>
      </c>
      <c r="F84" s="61">
        <f>$A$132</f>
        <v>432829</v>
      </c>
    </row>
    <row r="85" spans="1:6" ht="15.75">
      <c r="A85" s="10" t="s">
        <v>50</v>
      </c>
      <c r="B85" s="11"/>
      <c r="C85" s="12"/>
      <c r="D85" s="13"/>
      <c r="F85" s="61"/>
    </row>
    <row r="86" spans="1:6" ht="16.5" thickBot="1">
      <c r="A86" s="10">
        <f>A84-A132</f>
        <v>5626777</v>
      </c>
      <c r="B86" s="11">
        <v>5.5E-2</v>
      </c>
      <c r="C86" s="14">
        <f>(A86*B86)/365*92</f>
        <v>78004.086630136982</v>
      </c>
      <c r="D86" s="13">
        <f>C86+A132</f>
        <v>510833.086630137</v>
      </c>
      <c r="F86" s="61">
        <f>$A$132</f>
        <v>432829</v>
      </c>
    </row>
    <row r="87" spans="1:6" ht="15.75">
      <c r="A87" s="15"/>
      <c r="B87" s="16" t="s">
        <v>19</v>
      </c>
      <c r="C87" s="17">
        <f>SUM(C80:C86)</f>
        <v>344952.85467123287</v>
      </c>
      <c r="D87" s="18"/>
      <c r="F87" s="62"/>
    </row>
    <row r="88" spans="1:6" ht="33.75" thickBot="1">
      <c r="A88" s="23"/>
      <c r="B88" s="24"/>
      <c r="C88" s="25" t="s">
        <v>51</v>
      </c>
      <c r="D88" s="26">
        <f>SUM(D80:D86)</f>
        <v>2076268.8546712326</v>
      </c>
      <c r="F88" s="64">
        <f>SUM(F80:F86)</f>
        <v>1731316</v>
      </c>
    </row>
    <row r="89" spans="1:6" ht="17.25" thickBot="1">
      <c r="A89" s="41"/>
      <c r="B89" s="42"/>
      <c r="C89" s="43"/>
      <c r="D89" s="44"/>
      <c r="F89" s="37"/>
    </row>
    <row r="90" spans="1:6" ht="39" thickBot="1">
      <c r="A90" s="45" t="s">
        <v>11</v>
      </c>
      <c r="B90" s="46" t="s">
        <v>12</v>
      </c>
      <c r="C90" s="46" t="s">
        <v>13</v>
      </c>
      <c r="D90" s="47" t="s">
        <v>14</v>
      </c>
      <c r="F90" s="59" t="s">
        <v>77</v>
      </c>
    </row>
    <row r="91" spans="1:6" ht="15.75">
      <c r="A91" s="6" t="s">
        <v>52</v>
      </c>
      <c r="B91" s="7"/>
      <c r="C91" s="8"/>
      <c r="D91" s="9"/>
      <c r="F91" s="60"/>
    </row>
    <row r="92" spans="1:6" ht="15.75">
      <c r="A92" s="10">
        <f>A86-A132</f>
        <v>5193948</v>
      </c>
      <c r="B92" s="11">
        <v>5.2999999999999999E-2</v>
      </c>
      <c r="C92" s="12">
        <f>(A92*B92)/365*90</f>
        <v>67877.073863013691</v>
      </c>
      <c r="D92" s="13">
        <f>C92+A132</f>
        <v>500706.07386301371</v>
      </c>
      <c r="F92" s="61">
        <f>$A$132</f>
        <v>432829</v>
      </c>
    </row>
    <row r="93" spans="1:6" ht="15.75">
      <c r="A93" s="10" t="s">
        <v>53</v>
      </c>
      <c r="B93" s="11"/>
      <c r="C93" s="12"/>
      <c r="D93" s="13"/>
      <c r="F93" s="61"/>
    </row>
    <row r="94" spans="1:6" ht="15.75">
      <c r="A94" s="10">
        <f>A92-A132</f>
        <v>4761119</v>
      </c>
      <c r="B94" s="11">
        <v>5.2999999999999999E-2</v>
      </c>
      <c r="C94" s="12">
        <f>(A94*B94)/365*91</f>
        <v>62911.991608219178</v>
      </c>
      <c r="D94" s="13">
        <f>C94+A132</f>
        <v>495740.99160821916</v>
      </c>
      <c r="F94" s="61">
        <f>$A$132</f>
        <v>432829</v>
      </c>
    </row>
    <row r="95" spans="1:6" ht="15.75">
      <c r="A95" s="10" t="s">
        <v>54</v>
      </c>
      <c r="B95" s="11"/>
      <c r="C95" s="12"/>
      <c r="D95" s="13"/>
      <c r="F95" s="61"/>
    </row>
    <row r="96" spans="1:6" ht="15.75">
      <c r="A96" s="10">
        <f>A94-A132</f>
        <v>4328290</v>
      </c>
      <c r="B96" s="11">
        <v>5.2999999999999999E-2</v>
      </c>
      <c r="C96" s="12">
        <f>(A96*B96)/365*92</f>
        <v>57821.211068493154</v>
      </c>
      <c r="D96" s="13">
        <f>C96+A132</f>
        <v>490650.21106849314</v>
      </c>
      <c r="F96" s="61">
        <f>$A$132</f>
        <v>432829</v>
      </c>
    </row>
    <row r="97" spans="1:6" ht="15.75">
      <c r="A97" s="10" t="s">
        <v>55</v>
      </c>
      <c r="B97" s="11"/>
      <c r="C97" s="12"/>
      <c r="D97" s="13"/>
      <c r="F97" s="61"/>
    </row>
    <row r="98" spans="1:6" ht="16.5" thickBot="1">
      <c r="A98" s="10">
        <f>A96-A132</f>
        <v>3895461</v>
      </c>
      <c r="B98" s="11">
        <v>5.2999999999999999E-2</v>
      </c>
      <c r="C98" s="14">
        <f>(A98*B98)/365*92</f>
        <v>52039.08996164384</v>
      </c>
      <c r="D98" s="13">
        <f>C98+A132</f>
        <v>484868.08996164385</v>
      </c>
      <c r="F98" s="61">
        <f>$A$132</f>
        <v>432829</v>
      </c>
    </row>
    <row r="99" spans="1:6" ht="15.75">
      <c r="A99" s="15"/>
      <c r="B99" s="16" t="s">
        <v>19</v>
      </c>
      <c r="C99" s="17">
        <f>SUM(C92:C98)</f>
        <v>240649.36650136986</v>
      </c>
      <c r="D99" s="18"/>
      <c r="F99" s="62"/>
    </row>
    <row r="100" spans="1:6" ht="33.75" thickBot="1">
      <c r="A100" s="23"/>
      <c r="B100" s="24"/>
      <c r="C100" s="25" t="s">
        <v>56</v>
      </c>
      <c r="D100" s="26">
        <f>SUM(D92:D98)</f>
        <v>1971965.3665013697</v>
      </c>
      <c r="F100" s="64">
        <f>SUM(F92:F98)</f>
        <v>1731316</v>
      </c>
    </row>
    <row r="101" spans="1:6" ht="17.25" thickBot="1">
      <c r="A101" s="41"/>
      <c r="B101" s="42"/>
      <c r="C101" s="43"/>
      <c r="D101" s="44"/>
      <c r="F101" s="37"/>
    </row>
    <row r="102" spans="1:6" ht="39" thickBot="1">
      <c r="A102" s="45" t="s">
        <v>11</v>
      </c>
      <c r="B102" s="46" t="s">
        <v>12</v>
      </c>
      <c r="C102" s="46" t="s">
        <v>13</v>
      </c>
      <c r="D102" s="47" t="s">
        <v>14</v>
      </c>
      <c r="F102" s="59" t="s">
        <v>77</v>
      </c>
    </row>
    <row r="103" spans="1:6" ht="15.75">
      <c r="A103" s="6" t="s">
        <v>57</v>
      </c>
      <c r="B103" s="7"/>
      <c r="C103" s="8"/>
      <c r="D103" s="9"/>
      <c r="F103" s="60"/>
    </row>
    <row r="104" spans="1:6" ht="15.75">
      <c r="A104" s="10">
        <f>A98-A132</f>
        <v>3462632</v>
      </c>
      <c r="B104" s="11">
        <v>0.05</v>
      </c>
      <c r="C104" s="12">
        <f>(A104*B104)/365*90</f>
        <v>42689.983561643836</v>
      </c>
      <c r="D104" s="13">
        <f>C104+A132</f>
        <v>475518.98356164386</v>
      </c>
      <c r="F104" s="61">
        <f>$A$132</f>
        <v>432829</v>
      </c>
    </row>
    <row r="105" spans="1:6" ht="15.75">
      <c r="A105" s="10" t="s">
        <v>58</v>
      </c>
      <c r="B105" s="11"/>
      <c r="C105" s="12"/>
      <c r="D105" s="13"/>
      <c r="F105" s="61"/>
    </row>
    <row r="106" spans="1:6" ht="15.75">
      <c r="A106" s="10">
        <f>A104-A132</f>
        <v>3029803</v>
      </c>
      <c r="B106" s="11">
        <v>0.05</v>
      </c>
      <c r="C106" s="12">
        <f>(A106*B106)/365*91</f>
        <v>37768.777123287669</v>
      </c>
      <c r="D106" s="13">
        <f>C106+A132</f>
        <v>470597.77712328767</v>
      </c>
      <c r="F106" s="61">
        <f>$A$132</f>
        <v>432829</v>
      </c>
    </row>
    <row r="107" spans="1:6" ht="15.75">
      <c r="A107" s="10" t="s">
        <v>59</v>
      </c>
      <c r="B107" s="11"/>
      <c r="C107" s="12"/>
      <c r="D107" s="13"/>
      <c r="F107" s="61"/>
    </row>
    <row r="108" spans="1:6" ht="15.75">
      <c r="A108" s="10">
        <f>A106-A132</f>
        <v>2596974</v>
      </c>
      <c r="B108" s="11">
        <v>0.05</v>
      </c>
      <c r="C108" s="12">
        <f>(A108*B108)/365*92</f>
        <v>32728.987397260276</v>
      </c>
      <c r="D108" s="13">
        <f>C108+A132</f>
        <v>465557.98739726027</v>
      </c>
      <c r="F108" s="61">
        <f>$A$132</f>
        <v>432829</v>
      </c>
    </row>
    <row r="109" spans="1:6" ht="15.75">
      <c r="A109" s="10" t="s">
        <v>60</v>
      </c>
      <c r="B109" s="11"/>
      <c r="C109" s="12"/>
      <c r="D109" s="13"/>
      <c r="F109" s="61"/>
    </row>
    <row r="110" spans="1:6" ht="16.5" thickBot="1">
      <c r="A110" s="10">
        <f>A108-A132</f>
        <v>2164145</v>
      </c>
      <c r="B110" s="11">
        <v>0.05</v>
      </c>
      <c r="C110" s="14">
        <f>(A110*B110)/365*92</f>
        <v>27274.156164383559</v>
      </c>
      <c r="D110" s="13">
        <f>C110+A132</f>
        <v>460103.15616438357</v>
      </c>
      <c r="F110" s="61">
        <f>$A$132</f>
        <v>432829</v>
      </c>
    </row>
    <row r="111" spans="1:6" ht="15.75">
      <c r="A111" s="15"/>
      <c r="B111" s="16" t="s">
        <v>19</v>
      </c>
      <c r="C111" s="17">
        <f>SUM(C104:C110)</f>
        <v>140461.90424657534</v>
      </c>
      <c r="D111" s="18"/>
      <c r="F111" s="62"/>
    </row>
    <row r="112" spans="1:6" ht="33.75" thickBot="1">
      <c r="A112" s="23"/>
      <c r="B112" s="24"/>
      <c r="C112" s="25" t="s">
        <v>61</v>
      </c>
      <c r="D112" s="26">
        <f>SUM(D104:D110)</f>
        <v>1871777.9042465752</v>
      </c>
      <c r="F112" s="64">
        <f>SUM(F104:F110)</f>
        <v>1731316</v>
      </c>
    </row>
    <row r="113" spans="1:6" ht="17.25" thickBot="1">
      <c r="A113" s="41"/>
      <c r="B113" s="42"/>
      <c r="C113" s="43"/>
      <c r="D113" s="44"/>
      <c r="F113" s="37"/>
    </row>
    <row r="114" spans="1:6" ht="39" thickBot="1">
      <c r="A114" s="45" t="s">
        <v>11</v>
      </c>
      <c r="B114" s="46" t="s">
        <v>12</v>
      </c>
      <c r="C114" s="46" t="s">
        <v>13</v>
      </c>
      <c r="D114" s="47" t="s">
        <v>14</v>
      </c>
      <c r="F114" s="59" t="s">
        <v>77</v>
      </c>
    </row>
    <row r="115" spans="1:6" ht="15.75">
      <c r="A115" s="6" t="s">
        <v>62</v>
      </c>
      <c r="B115" s="7"/>
      <c r="C115" s="8"/>
      <c r="D115" s="9"/>
      <c r="F115" s="60"/>
    </row>
    <row r="116" spans="1:6" ht="15.75">
      <c r="A116" s="10">
        <f>A110-A132</f>
        <v>1731316</v>
      </c>
      <c r="B116" s="11">
        <v>0.05</v>
      </c>
      <c r="C116" s="12">
        <f>(A116*B116)/365*91</f>
        <v>21582.158356164386</v>
      </c>
      <c r="D116" s="13">
        <f>C116+A132</f>
        <v>454411.15835616441</v>
      </c>
      <c r="F116" s="61">
        <f>$A$132</f>
        <v>432829</v>
      </c>
    </row>
    <row r="117" spans="1:6" ht="15.75">
      <c r="A117" s="10" t="s">
        <v>63</v>
      </c>
      <c r="B117" s="11"/>
      <c r="C117" s="12"/>
      <c r="D117" s="13"/>
      <c r="F117" s="61"/>
    </row>
    <row r="118" spans="1:6" ht="15.75">
      <c r="A118" s="10">
        <f>A116-A132</f>
        <v>1298487</v>
      </c>
      <c r="B118" s="11">
        <v>0.05</v>
      </c>
      <c r="C118" s="12">
        <f>(A118*B118)/365*91</f>
        <v>16186.618767123287</v>
      </c>
      <c r="D118" s="13">
        <f>C118+A132</f>
        <v>449015.61876712326</v>
      </c>
      <c r="F118" s="61">
        <f>$A$132</f>
        <v>432829</v>
      </c>
    </row>
    <row r="119" spans="1:6" ht="15.75">
      <c r="A119" s="10" t="s">
        <v>64</v>
      </c>
      <c r="B119" s="11"/>
      <c r="C119" s="12"/>
      <c r="D119" s="13"/>
      <c r="F119" s="61"/>
    </row>
    <row r="120" spans="1:6" ht="15.75">
      <c r="A120" s="10">
        <f>A118-A132</f>
        <v>865658</v>
      </c>
      <c r="B120" s="11">
        <v>0.05</v>
      </c>
      <c r="C120" s="12">
        <f>(A120*B120)/365*92</f>
        <v>10909.662465753425</v>
      </c>
      <c r="D120" s="13">
        <f>C120+A132</f>
        <v>443738.66246575344</v>
      </c>
      <c r="F120" s="61">
        <f>$A$132</f>
        <v>432829</v>
      </c>
    </row>
    <row r="121" spans="1:6" ht="15.75">
      <c r="A121" s="10" t="s">
        <v>65</v>
      </c>
      <c r="B121" s="11"/>
      <c r="C121" s="12"/>
      <c r="D121" s="13"/>
      <c r="F121" s="61"/>
    </row>
    <row r="122" spans="1:6" ht="16.5" thickBot="1">
      <c r="A122" s="10">
        <f>A120-A132</f>
        <v>432829</v>
      </c>
      <c r="B122" s="11">
        <v>0.05</v>
      </c>
      <c r="C122" s="14">
        <f>(A122*B122)/365*92</f>
        <v>5454.8312328767124</v>
      </c>
      <c r="D122" s="13">
        <f>C122+A132</f>
        <v>438283.83123287669</v>
      </c>
      <c r="F122" s="61">
        <f>$A$132</f>
        <v>432829</v>
      </c>
    </row>
    <row r="123" spans="1:6" ht="15.75">
      <c r="A123" s="15"/>
      <c r="B123" s="16" t="s">
        <v>19</v>
      </c>
      <c r="C123" s="17">
        <f>SUM(C116:C122)</f>
        <v>54133.270821917809</v>
      </c>
      <c r="D123" s="18"/>
      <c r="F123" s="62"/>
    </row>
    <row r="124" spans="1:6" ht="33.75" thickBot="1">
      <c r="A124" s="23"/>
      <c r="B124" s="24"/>
      <c r="C124" s="25" t="s">
        <v>66</v>
      </c>
      <c r="D124" s="26">
        <f>SUM(D116:D122)</f>
        <v>1785449.2708219178</v>
      </c>
      <c r="F124" s="64">
        <f>SUM(F116:F122)</f>
        <v>1731316</v>
      </c>
    </row>
    <row r="125" spans="1:6" ht="16.5">
      <c r="A125" s="41"/>
      <c r="B125" s="42"/>
      <c r="C125" s="43"/>
      <c r="D125" s="44"/>
    </row>
    <row r="126" spans="1:6" ht="18">
      <c r="A126" s="428" t="s">
        <v>67</v>
      </c>
      <c r="B126" s="428"/>
      <c r="C126" s="428"/>
      <c r="D126" s="48">
        <f>SUM(D128:D130)</f>
        <v>20116423.896621536</v>
      </c>
      <c r="F126" s="375">
        <f>SUM(F16,F28,F40,F52,F64,F76,F88,F100,F112,F124)</f>
        <v>15581864.76</v>
      </c>
    </row>
    <row r="127" spans="1:6" ht="16.5">
      <c r="A127" s="429" t="s">
        <v>68</v>
      </c>
      <c r="B127" s="429"/>
      <c r="C127" s="429"/>
      <c r="D127" s="49"/>
    </row>
    <row r="128" spans="1:6">
      <c r="A128" s="425" t="s">
        <v>69</v>
      </c>
      <c r="B128" s="425"/>
      <c r="C128" s="425"/>
      <c r="D128" s="50">
        <f>A132*35+A133</f>
        <v>15581864.76</v>
      </c>
    </row>
    <row r="129" spans="1:4">
      <c r="A129" s="425" t="s">
        <v>70</v>
      </c>
      <c r="B129" s="425"/>
      <c r="C129" s="425"/>
      <c r="D129" s="50">
        <f>SUM(C14,C27,C39,C51,C63,C75,C87,C99,C111,C123)</f>
        <v>4520535.4583375342</v>
      </c>
    </row>
    <row r="130" spans="1:4">
      <c r="A130" s="425" t="s">
        <v>71</v>
      </c>
      <c r="B130" s="425"/>
      <c r="C130" s="425"/>
      <c r="D130" s="50">
        <f>C15</f>
        <v>14023.678284</v>
      </c>
    </row>
    <row r="131" spans="1:4">
      <c r="A131" s="51" t="s">
        <v>72</v>
      </c>
      <c r="B131" s="52"/>
    </row>
    <row r="132" spans="1:4" ht="15.75">
      <c r="A132" s="372">
        <v>432829</v>
      </c>
      <c r="B132" s="29" t="s">
        <v>316</v>
      </c>
    </row>
    <row r="133" spans="1:4" ht="15.75">
      <c r="A133" s="379">
        <v>432849.76</v>
      </c>
      <c r="B133" s="27" t="s">
        <v>145</v>
      </c>
      <c r="D133" s="29">
        <f>SUM(D129:D130)</f>
        <v>4534559.1366215339</v>
      </c>
    </row>
    <row r="135" spans="1:4" ht="15.75">
      <c r="A135" t="s">
        <v>73</v>
      </c>
      <c r="B135" s="54">
        <v>3.8600000000000002E-2</v>
      </c>
    </row>
    <row r="136" spans="1:4">
      <c r="A136" s="52" t="s">
        <v>74</v>
      </c>
      <c r="B136" s="55">
        <v>1.6578999999999999</v>
      </c>
    </row>
    <row r="137" spans="1:4">
      <c r="A137" s="52" t="s">
        <v>75</v>
      </c>
    </row>
    <row r="138" spans="1:4">
      <c r="B138" s="263">
        <f>3.86*165.79%</f>
        <v>6.3994939999999998</v>
      </c>
    </row>
    <row r="140" spans="1:4">
      <c r="B140">
        <v>18500000</v>
      </c>
    </row>
  </sheetData>
  <mergeCells count="7">
    <mergeCell ref="A130:C130"/>
    <mergeCell ref="A2:F2"/>
    <mergeCell ref="A3:D3"/>
    <mergeCell ref="A126:C126"/>
    <mergeCell ref="A127:C127"/>
    <mergeCell ref="A128:C128"/>
    <mergeCell ref="A129:C129"/>
  </mergeCells>
  <pageMargins left="0.22" right="0.22" top="0.28000000000000003" bottom="0.41" header="0.2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C00000"/>
  </sheetPr>
  <dimension ref="A2:G140"/>
  <sheetViews>
    <sheetView topLeftCell="A28" zoomScale="80" zoomScaleNormal="80" workbookViewId="0">
      <selection activeCell="M56" sqref="M56"/>
    </sheetView>
  </sheetViews>
  <sheetFormatPr defaultRowHeight="14.25"/>
  <cols>
    <col min="1" max="1" width="20" customWidth="1"/>
    <col min="2" max="2" width="17.5" customWidth="1"/>
    <col min="3" max="4" width="15.625" customWidth="1"/>
    <col min="5" max="5" width="2" customWidth="1"/>
    <col min="6" max="6" width="19.125" customWidth="1"/>
  </cols>
  <sheetData>
    <row r="2" spans="1:7" ht="67.5" customHeight="1">
      <c r="A2" s="426" t="s">
        <v>153</v>
      </c>
      <c r="B2" s="426"/>
      <c r="C2" s="426"/>
      <c r="D2" s="426"/>
      <c r="E2" s="426"/>
      <c r="F2" s="426"/>
    </row>
    <row r="3" spans="1:7">
      <c r="A3" s="427"/>
      <c r="B3" s="427"/>
      <c r="C3" s="427"/>
      <c r="D3" s="427"/>
      <c r="F3" s="57" t="s">
        <v>76</v>
      </c>
      <c r="G3" s="58"/>
    </row>
    <row r="4" spans="1:7" ht="15" thickBot="1">
      <c r="D4" s="2" t="s">
        <v>10</v>
      </c>
    </row>
    <row r="5" spans="1:7" ht="39" thickBot="1">
      <c r="A5" s="3" t="s">
        <v>11</v>
      </c>
      <c r="B5" s="4" t="s">
        <v>12</v>
      </c>
      <c r="C5" s="4" t="s">
        <v>13</v>
      </c>
      <c r="D5" s="5" t="s">
        <v>14</v>
      </c>
      <c r="F5" s="59" t="s">
        <v>77</v>
      </c>
    </row>
    <row r="6" spans="1:7" ht="15.75">
      <c r="A6" s="6" t="s">
        <v>79</v>
      </c>
      <c r="B6" s="7"/>
      <c r="C6" s="8"/>
      <c r="D6" s="9"/>
      <c r="F6" s="60"/>
    </row>
    <row r="7" spans="1:7" ht="15.75">
      <c r="A7" s="10"/>
      <c r="B7" s="11">
        <v>0</v>
      </c>
      <c r="C7" s="12">
        <f>(A7*B7)/365*90</f>
        <v>0</v>
      </c>
      <c r="D7" s="13">
        <v>0</v>
      </c>
      <c r="F7" s="61">
        <v>0</v>
      </c>
    </row>
    <row r="8" spans="1:7" ht="15.75">
      <c r="A8" s="10" t="s">
        <v>80</v>
      </c>
      <c r="B8" s="11"/>
      <c r="C8" s="12"/>
      <c r="D8" s="13"/>
      <c r="F8" s="61"/>
    </row>
    <row r="9" spans="1:7" ht="15.75">
      <c r="A9" s="10"/>
      <c r="B9" s="11">
        <v>0</v>
      </c>
      <c r="C9" s="12">
        <f>(A9*B9)/365*90</f>
        <v>0</v>
      </c>
      <c r="D9" s="13">
        <v>0</v>
      </c>
      <c r="F9" s="61">
        <v>0</v>
      </c>
    </row>
    <row r="10" spans="1:7" ht="15.75">
      <c r="A10" s="10" t="s">
        <v>81</v>
      </c>
      <c r="B10" s="11"/>
      <c r="C10" s="12"/>
      <c r="D10" s="13"/>
      <c r="F10" s="61"/>
    </row>
    <row r="11" spans="1:7" ht="15.75">
      <c r="A11" s="10"/>
      <c r="B11" s="11">
        <v>0</v>
      </c>
      <c r="C11" s="12">
        <f>(A11*B11)/365*90</f>
        <v>0</v>
      </c>
      <c r="D11" s="13">
        <v>0</v>
      </c>
      <c r="F11" s="61">
        <v>0</v>
      </c>
    </row>
    <row r="12" spans="1:7" ht="15.75">
      <c r="A12" s="10" t="s">
        <v>82</v>
      </c>
      <c r="B12" s="11"/>
      <c r="C12" s="12"/>
      <c r="D12" s="13"/>
      <c r="F12" s="61"/>
    </row>
    <row r="13" spans="1:7" ht="16.5" thickBot="1">
      <c r="A13" s="10">
        <f>'Zestawienie kredytów'!F31</f>
        <v>31000000</v>
      </c>
      <c r="B13" s="11">
        <v>0</v>
      </c>
      <c r="C13" s="14">
        <f>(A13*B13)/365*90</f>
        <v>0</v>
      </c>
      <c r="D13" s="13">
        <f>C13</f>
        <v>0</v>
      </c>
      <c r="F13" s="61">
        <f>E13</f>
        <v>0</v>
      </c>
    </row>
    <row r="14" spans="1:7" ht="15.75">
      <c r="A14" s="15"/>
      <c r="B14" s="16" t="s">
        <v>19</v>
      </c>
      <c r="C14" s="17">
        <f>SUM(C7:C13)</f>
        <v>0</v>
      </c>
      <c r="D14" s="18"/>
      <c r="F14" s="62"/>
    </row>
    <row r="15" spans="1:7" ht="15.75">
      <c r="A15" s="19"/>
      <c r="B15" s="20" t="s">
        <v>20</v>
      </c>
      <c r="C15" s="21">
        <f>0.09%*A13</f>
        <v>27900</v>
      </c>
      <c r="D15" s="22"/>
      <c r="F15" s="63"/>
    </row>
    <row r="16" spans="1:7" ht="33.75" thickBot="1">
      <c r="A16" s="23"/>
      <c r="B16" s="24"/>
      <c r="C16" s="25" t="s">
        <v>78</v>
      </c>
      <c r="D16" s="26">
        <f>SUM(D7:D13)+C15</f>
        <v>27900</v>
      </c>
      <c r="F16" s="64">
        <f>SUM(F7:F13)</f>
        <v>0</v>
      </c>
    </row>
    <row r="17" spans="1:6" ht="15" thickBot="1">
      <c r="A17" s="27"/>
      <c r="B17" s="27"/>
      <c r="C17" s="27"/>
      <c r="D17" s="27"/>
      <c r="F17" s="67"/>
    </row>
    <row r="18" spans="1:6" ht="39" thickBot="1">
      <c r="A18" s="3" t="s">
        <v>11</v>
      </c>
      <c r="B18" s="4" t="s">
        <v>12</v>
      </c>
      <c r="C18" s="4" t="s">
        <v>13</v>
      </c>
      <c r="D18" s="5" t="s">
        <v>14</v>
      </c>
      <c r="F18" s="59" t="s">
        <v>77</v>
      </c>
    </row>
    <row r="19" spans="1:6" ht="15.75">
      <c r="A19" s="6" t="s">
        <v>22</v>
      </c>
      <c r="B19" s="7"/>
      <c r="C19" s="8"/>
      <c r="D19" s="9"/>
      <c r="F19" s="60"/>
    </row>
    <row r="20" spans="1:6" ht="15.75">
      <c r="A20" s="10">
        <f>A13</f>
        <v>31000000</v>
      </c>
      <c r="B20" s="11">
        <v>5.8999999999999997E-2</v>
      </c>
      <c r="C20" s="12">
        <f>(A20*B20)/365*180</f>
        <v>901972.60273972596</v>
      </c>
      <c r="D20" s="13">
        <f>C20+A133</f>
        <v>1763087.602739726</v>
      </c>
      <c r="F20" s="61">
        <f>$A$133</f>
        <v>861115</v>
      </c>
    </row>
    <row r="21" spans="1:6" ht="15.75">
      <c r="A21" s="10" t="s">
        <v>23</v>
      </c>
      <c r="B21" s="11"/>
      <c r="C21" s="12"/>
      <c r="D21" s="13"/>
      <c r="F21" s="61"/>
    </row>
    <row r="22" spans="1:6" ht="15.75">
      <c r="A22" s="10">
        <f>A20-A133</f>
        <v>30138885</v>
      </c>
      <c r="B22" s="11">
        <v>5.8999999999999997E-2</v>
      </c>
      <c r="C22" s="12">
        <f>(A22*B22)/365*91</f>
        <v>443330.61250684928</v>
      </c>
      <c r="D22" s="13">
        <f>C22+A132</f>
        <v>1304441.6125068492</v>
      </c>
      <c r="F22" s="61">
        <f>$A$132</f>
        <v>861111</v>
      </c>
    </row>
    <row r="23" spans="1:6" ht="15.75">
      <c r="A23" s="10" t="s">
        <v>24</v>
      </c>
      <c r="B23" s="11"/>
      <c r="C23" s="12"/>
      <c r="D23" s="13"/>
      <c r="F23" s="61"/>
    </row>
    <row r="24" spans="1:6" ht="15.75">
      <c r="A24" s="10">
        <f>A22-A132</f>
        <v>29277774</v>
      </c>
      <c r="B24" s="11">
        <v>6.5000000000000002E-2</v>
      </c>
      <c r="C24" s="12">
        <f>(A24*B24)/365*92</f>
        <v>479674.21512328769</v>
      </c>
      <c r="D24" s="13">
        <f>C24+A132</f>
        <v>1340785.2151232876</v>
      </c>
      <c r="F24" s="61">
        <f>$A$132</f>
        <v>861111</v>
      </c>
    </row>
    <row r="25" spans="1:6" ht="15.75">
      <c r="A25" s="10" t="s">
        <v>25</v>
      </c>
      <c r="B25" s="11"/>
      <c r="C25" s="12"/>
      <c r="D25" s="13"/>
      <c r="F25" s="61"/>
    </row>
    <row r="26" spans="1:6" ht="16.5" thickBot="1">
      <c r="A26" s="10">
        <f>A24-A132</f>
        <v>28416663</v>
      </c>
      <c r="B26" s="11">
        <v>6.5000000000000002E-2</v>
      </c>
      <c r="C26" s="14">
        <f>(A26*B26)/365*92</f>
        <v>465566.14997260273</v>
      </c>
      <c r="D26" s="13">
        <f>C26+A132</f>
        <v>1326677.1499726027</v>
      </c>
      <c r="F26" s="61">
        <f>$A$132</f>
        <v>861111</v>
      </c>
    </row>
    <row r="27" spans="1:6" ht="15.75">
      <c r="A27" s="15"/>
      <c r="B27" s="16" t="s">
        <v>19</v>
      </c>
      <c r="C27" s="17">
        <f>SUM(C20:C26)</f>
        <v>2290543.5803424655</v>
      </c>
      <c r="D27" s="18"/>
      <c r="F27" s="62"/>
    </row>
    <row r="28" spans="1:6" ht="33.75" thickBot="1">
      <c r="A28" s="23"/>
      <c r="B28" s="24"/>
      <c r="C28" s="25" t="s">
        <v>26</v>
      </c>
      <c r="D28" s="26">
        <f>SUM(D20:D26)</f>
        <v>5734991.5803424651</v>
      </c>
      <c r="F28" s="64">
        <f>SUM(F20:F26)</f>
        <v>3444448</v>
      </c>
    </row>
    <row r="29" spans="1:6" ht="15" thickBot="1">
      <c r="A29" s="27"/>
      <c r="B29" s="28"/>
      <c r="C29" s="29"/>
      <c r="D29" s="27"/>
      <c r="F29" s="67"/>
    </row>
    <row r="30" spans="1:6" ht="39" thickBot="1">
      <c r="A30" s="3" t="s">
        <v>11</v>
      </c>
      <c r="B30" s="4" t="s">
        <v>12</v>
      </c>
      <c r="C30" s="4" t="s">
        <v>13</v>
      </c>
      <c r="D30" s="5" t="s">
        <v>14</v>
      </c>
      <c r="F30" s="59" t="s">
        <v>77</v>
      </c>
    </row>
    <row r="31" spans="1:6" ht="15.75">
      <c r="A31" s="6" t="s">
        <v>27</v>
      </c>
      <c r="B31" s="7"/>
      <c r="C31" s="8"/>
      <c r="D31" s="9"/>
      <c r="F31" s="60"/>
    </row>
    <row r="32" spans="1:6" ht="15.75">
      <c r="A32" s="10">
        <f>A26-A132</f>
        <v>27555552</v>
      </c>
      <c r="B32" s="11">
        <v>6.5000000000000002E-2</v>
      </c>
      <c r="C32" s="12">
        <f>(A32*B32)/365*90</f>
        <v>441643.77863013704</v>
      </c>
      <c r="D32" s="13">
        <f>C32+A132</f>
        <v>1302754.778630137</v>
      </c>
      <c r="F32" s="61">
        <f>$A$132</f>
        <v>861111</v>
      </c>
    </row>
    <row r="33" spans="1:6" ht="15.75">
      <c r="A33" s="10" t="s">
        <v>28</v>
      </c>
      <c r="B33" s="11"/>
      <c r="C33" s="12"/>
      <c r="D33" s="13"/>
      <c r="F33" s="61"/>
    </row>
    <row r="34" spans="1:6" ht="15.75">
      <c r="A34" s="10">
        <f>A32-A132</f>
        <v>26694441</v>
      </c>
      <c r="B34" s="11">
        <v>6.5000000000000002E-2</v>
      </c>
      <c r="C34" s="12">
        <f>(A34*B34)/365*91</f>
        <v>432596.21510958904</v>
      </c>
      <c r="D34" s="13">
        <f>C34+A132</f>
        <v>1293707.215109589</v>
      </c>
      <c r="F34" s="61">
        <f>$A$132</f>
        <v>861111</v>
      </c>
    </row>
    <row r="35" spans="1:6" ht="15.75">
      <c r="A35" s="10" t="s">
        <v>29</v>
      </c>
      <c r="B35" s="11"/>
      <c r="C35" s="12"/>
      <c r="D35" s="13"/>
      <c r="F35" s="61"/>
    </row>
    <row r="36" spans="1:6" ht="15.75">
      <c r="A36" s="10">
        <f>A34-A132</f>
        <v>25833330</v>
      </c>
      <c r="B36" s="11">
        <v>6.5000000000000002E-2</v>
      </c>
      <c r="C36" s="12">
        <f>(A36*B36)/365*92</f>
        <v>423241.95452054794</v>
      </c>
      <c r="D36" s="13">
        <f>C36+A132</f>
        <v>1284352.954520548</v>
      </c>
      <c r="F36" s="61">
        <f>$A$132</f>
        <v>861111</v>
      </c>
    </row>
    <row r="37" spans="1:6" ht="15.75">
      <c r="A37" s="10" t="s">
        <v>30</v>
      </c>
      <c r="B37" s="11"/>
      <c r="C37" s="12"/>
      <c r="D37" s="13"/>
      <c r="F37" s="61"/>
    </row>
    <row r="38" spans="1:6" ht="16.5" thickBot="1">
      <c r="A38" s="10">
        <f>A36-A132</f>
        <v>24972219</v>
      </c>
      <c r="B38" s="11">
        <v>6.5000000000000002E-2</v>
      </c>
      <c r="C38" s="14">
        <f>(A38*B38)/365*92</f>
        <v>409133.88936986309</v>
      </c>
      <c r="D38" s="13">
        <f>C38+A132</f>
        <v>1270244.8893698631</v>
      </c>
      <c r="F38" s="61">
        <f>$A$132</f>
        <v>861111</v>
      </c>
    </row>
    <row r="39" spans="1:6" ht="15.75">
      <c r="A39" s="15"/>
      <c r="B39" s="16" t="s">
        <v>19</v>
      </c>
      <c r="C39" s="17">
        <f>SUM(C32:C38)</f>
        <v>1706615.8376301371</v>
      </c>
      <c r="D39" s="18"/>
      <c r="F39" s="62"/>
    </row>
    <row r="40" spans="1:6" ht="33.75" thickBot="1">
      <c r="A40" s="30"/>
      <c r="B40" s="31"/>
      <c r="C40" s="32" t="s">
        <v>31</v>
      </c>
      <c r="D40" s="33">
        <f>SUM(D32:D38)</f>
        <v>5151059.8376301369</v>
      </c>
      <c r="F40" s="66">
        <f>SUM(F32:F38)</f>
        <v>3444444</v>
      </c>
    </row>
    <row r="41" spans="1:6" ht="17.25" thickBot="1">
      <c r="A41" s="34"/>
      <c r="B41" s="35"/>
      <c r="C41" s="36"/>
      <c r="D41" s="37"/>
      <c r="F41" s="37"/>
    </row>
    <row r="42" spans="1:6" ht="39" thickBot="1">
      <c r="A42" s="38" t="s">
        <v>11</v>
      </c>
      <c r="B42" s="39" t="s">
        <v>12</v>
      </c>
      <c r="C42" s="39" t="s">
        <v>13</v>
      </c>
      <c r="D42" s="40" t="s">
        <v>14</v>
      </c>
      <c r="F42" s="59" t="s">
        <v>77</v>
      </c>
    </row>
    <row r="43" spans="1:6" ht="15.75">
      <c r="A43" s="6" t="s">
        <v>32</v>
      </c>
      <c r="B43" s="7"/>
      <c r="C43" s="8"/>
      <c r="D43" s="9"/>
      <c r="F43" s="60"/>
    </row>
    <row r="44" spans="1:6" ht="15.75">
      <c r="A44" s="10">
        <f>A38-A132</f>
        <v>24111108</v>
      </c>
      <c r="B44" s="11">
        <v>0.05</v>
      </c>
      <c r="C44" s="12">
        <f>(A44*B44)/365*90</f>
        <v>297260.23561643838</v>
      </c>
      <c r="D44" s="13">
        <f>C44+A132</f>
        <v>1158371.2356164383</v>
      </c>
      <c r="F44" s="61">
        <f>$A$132</f>
        <v>861111</v>
      </c>
    </row>
    <row r="45" spans="1:6" ht="15.75">
      <c r="A45" s="10" t="s">
        <v>33</v>
      </c>
      <c r="B45" s="11"/>
      <c r="C45" s="12"/>
      <c r="D45" s="13"/>
      <c r="F45" s="61"/>
    </row>
    <row r="46" spans="1:6" ht="15.75">
      <c r="A46" s="10">
        <f>A44-A132</f>
        <v>23249997</v>
      </c>
      <c r="B46" s="11">
        <v>0.05</v>
      </c>
      <c r="C46" s="12">
        <f>(A46*B46)/365*91</f>
        <v>289828.72972602741</v>
      </c>
      <c r="D46" s="13">
        <f>C46+A132</f>
        <v>1150939.7297260275</v>
      </c>
      <c r="F46" s="61">
        <f>$A$132</f>
        <v>861111</v>
      </c>
    </row>
    <row r="47" spans="1:6" ht="15.75">
      <c r="A47" s="10" t="s">
        <v>34</v>
      </c>
      <c r="B47" s="11"/>
      <c r="C47" s="12"/>
      <c r="D47" s="13"/>
      <c r="F47" s="61"/>
    </row>
    <row r="48" spans="1:6" ht="15.75">
      <c r="A48" s="10">
        <f>A46-A132</f>
        <v>22388886</v>
      </c>
      <c r="B48" s="11">
        <v>0.05</v>
      </c>
      <c r="C48" s="12">
        <f>(A48*B48)/365*92</f>
        <v>282161.30301369866</v>
      </c>
      <c r="D48" s="13">
        <f>C48+A132</f>
        <v>1143272.3030136987</v>
      </c>
      <c r="F48" s="61">
        <f>$A$132</f>
        <v>861111</v>
      </c>
    </row>
    <row r="49" spans="1:6" ht="15.75">
      <c r="A49" s="10" t="s">
        <v>35</v>
      </c>
      <c r="B49" s="11"/>
      <c r="C49" s="12"/>
      <c r="D49" s="13"/>
      <c r="F49" s="61"/>
    </row>
    <row r="50" spans="1:6" ht="16.5" thickBot="1">
      <c r="A50" s="10">
        <f>A48-A132</f>
        <v>21527775</v>
      </c>
      <c r="B50" s="11">
        <v>0.05</v>
      </c>
      <c r="C50" s="14">
        <f>(A50*B50)/365*92</f>
        <v>271308.94520547945</v>
      </c>
      <c r="D50" s="13">
        <f>C50+A132</f>
        <v>1132419.9452054794</v>
      </c>
      <c r="F50" s="61">
        <f>$A$132</f>
        <v>861111</v>
      </c>
    </row>
    <row r="51" spans="1:6" ht="15.75">
      <c r="A51" s="15"/>
      <c r="B51" s="16" t="s">
        <v>19</v>
      </c>
      <c r="C51" s="17">
        <f>SUM(C44:C50)</f>
        <v>1140559.2135616438</v>
      </c>
      <c r="D51" s="18"/>
      <c r="F51" s="62"/>
    </row>
    <row r="52" spans="1:6" ht="33.75" thickBot="1">
      <c r="A52" s="23"/>
      <c r="B52" s="24"/>
      <c r="C52" s="25" t="s">
        <v>36</v>
      </c>
      <c r="D52" s="26">
        <f>SUM(D44:D50)</f>
        <v>4585003.2135616438</v>
      </c>
      <c r="F52" s="64">
        <f>SUM(F44:F50)</f>
        <v>3444444</v>
      </c>
    </row>
    <row r="53" spans="1:6" ht="17.25" thickBot="1">
      <c r="A53" s="41"/>
      <c r="B53" s="42"/>
      <c r="C53" s="43"/>
      <c r="D53" s="44"/>
      <c r="F53" s="37"/>
    </row>
    <row r="54" spans="1:6" ht="39" thickBot="1">
      <c r="A54" s="45" t="s">
        <v>11</v>
      </c>
      <c r="B54" s="46" t="s">
        <v>12</v>
      </c>
      <c r="C54" s="46" t="s">
        <v>13</v>
      </c>
      <c r="D54" s="47" t="s">
        <v>14</v>
      </c>
      <c r="F54" s="59" t="s">
        <v>77</v>
      </c>
    </row>
    <row r="55" spans="1:6" ht="15.75">
      <c r="A55" s="6" t="s">
        <v>37</v>
      </c>
      <c r="B55" s="7"/>
      <c r="C55" s="8"/>
      <c r="D55" s="9"/>
      <c r="F55" s="60"/>
    </row>
    <row r="56" spans="1:6" ht="15.75">
      <c r="A56" s="10">
        <f>A50-A132</f>
        <v>20666664</v>
      </c>
      <c r="B56" s="11">
        <v>0.05</v>
      </c>
      <c r="C56" s="12">
        <f>(A56*B56)/365*90</f>
        <v>254794.4876712329</v>
      </c>
      <c r="D56" s="13">
        <f>C56+A132</f>
        <v>1115905.4876712328</v>
      </c>
      <c r="F56" s="61">
        <f>$A$132</f>
        <v>861111</v>
      </c>
    </row>
    <row r="57" spans="1:6" ht="15.75">
      <c r="A57" s="10" t="s">
        <v>38</v>
      </c>
      <c r="B57" s="11"/>
      <c r="C57" s="12"/>
      <c r="D57" s="13"/>
      <c r="F57" s="61"/>
    </row>
    <row r="58" spans="1:6" ht="15.75">
      <c r="A58" s="10">
        <f>A56-A132</f>
        <v>19805553</v>
      </c>
      <c r="B58" s="11">
        <v>0.05</v>
      </c>
      <c r="C58" s="12">
        <f>(A58*B58)/365*91</f>
        <v>246891.1401369863</v>
      </c>
      <c r="D58" s="13">
        <f>C58+A132</f>
        <v>1108002.1401369863</v>
      </c>
      <c r="F58" s="61">
        <f>$A$132</f>
        <v>861111</v>
      </c>
    </row>
    <row r="59" spans="1:6" ht="15.75">
      <c r="A59" s="10" t="s">
        <v>39</v>
      </c>
      <c r="B59" s="11"/>
      <c r="C59" s="12"/>
      <c r="D59" s="13"/>
      <c r="F59" s="61"/>
    </row>
    <row r="60" spans="1:6" ht="15.75">
      <c r="A60" s="10">
        <f>A58-A132</f>
        <v>18944442</v>
      </c>
      <c r="B60" s="11">
        <v>0.05</v>
      </c>
      <c r="C60" s="12">
        <f>(A60*B60)/365*92</f>
        <v>238751.87178082191</v>
      </c>
      <c r="D60" s="13">
        <f>C60+A132</f>
        <v>1099862.8717808218</v>
      </c>
      <c r="F60" s="61">
        <f>$A$132</f>
        <v>861111</v>
      </c>
    </row>
    <row r="61" spans="1:6" ht="15.75">
      <c r="A61" s="10" t="s">
        <v>40</v>
      </c>
      <c r="B61" s="11"/>
      <c r="C61" s="12"/>
      <c r="D61" s="13"/>
      <c r="F61" s="61"/>
    </row>
    <row r="62" spans="1:6" ht="16.5" thickBot="1">
      <c r="A62" s="10">
        <f>A60-A132</f>
        <v>18083331</v>
      </c>
      <c r="B62" s="11">
        <v>0.05</v>
      </c>
      <c r="C62" s="14">
        <f>(A62*B62)/365*92</f>
        <v>227899.51397260276</v>
      </c>
      <c r="D62" s="13">
        <f>C62+A132</f>
        <v>1089010.5139726028</v>
      </c>
      <c r="F62" s="61">
        <f>$A$132</f>
        <v>861111</v>
      </c>
    </row>
    <row r="63" spans="1:6" ht="15.75">
      <c r="A63" s="15"/>
      <c r="B63" s="16" t="s">
        <v>19</v>
      </c>
      <c r="C63" s="17">
        <f>SUM(C56:C62)</f>
        <v>968337.01356164389</v>
      </c>
      <c r="D63" s="18"/>
      <c r="F63" s="62"/>
    </row>
    <row r="64" spans="1:6" ht="33.75" thickBot="1">
      <c r="A64" s="23"/>
      <c r="B64" s="24"/>
      <c r="C64" s="25" t="s">
        <v>41</v>
      </c>
      <c r="D64" s="26">
        <f>SUM(D56:D62)</f>
        <v>4412781.0135616437</v>
      </c>
      <c r="F64" s="64">
        <f>SUM(F56:F62)</f>
        <v>3444444</v>
      </c>
    </row>
    <row r="65" spans="1:6" ht="17.25" thickBot="1">
      <c r="A65" s="41"/>
      <c r="B65" s="42"/>
      <c r="C65" s="43"/>
      <c r="D65" s="44"/>
      <c r="F65" s="37"/>
    </row>
    <row r="66" spans="1:6" ht="39" thickBot="1">
      <c r="A66" s="45" t="s">
        <v>11</v>
      </c>
      <c r="B66" s="46" t="s">
        <v>12</v>
      </c>
      <c r="C66" s="46" t="s">
        <v>13</v>
      </c>
      <c r="D66" s="47" t="s">
        <v>14</v>
      </c>
      <c r="F66" s="59" t="s">
        <v>77</v>
      </c>
    </row>
    <row r="67" spans="1:6" ht="15.75">
      <c r="A67" s="6" t="s">
        <v>42</v>
      </c>
      <c r="B67" s="7"/>
      <c r="C67" s="8"/>
      <c r="D67" s="9"/>
      <c r="F67" s="60"/>
    </row>
    <row r="68" spans="1:6" ht="15.75">
      <c r="A68" s="10">
        <f>A62-A132</f>
        <v>17222220</v>
      </c>
      <c r="B68" s="11">
        <v>5.2999999999999999E-2</v>
      </c>
      <c r="C68" s="12">
        <f>(A68*B68)/365*91</f>
        <v>227569.2248219178</v>
      </c>
      <c r="D68" s="13">
        <f>C68+A132</f>
        <v>1088680.2248219177</v>
      </c>
      <c r="F68" s="61">
        <f>$A$132</f>
        <v>861111</v>
      </c>
    </row>
    <row r="69" spans="1:6" ht="15.75">
      <c r="A69" s="10" t="s">
        <v>43</v>
      </c>
      <c r="B69" s="11"/>
      <c r="C69" s="12"/>
      <c r="D69" s="13"/>
      <c r="F69" s="61"/>
    </row>
    <row r="70" spans="1:6" ht="15.75">
      <c r="A70" s="10">
        <f>A68-A132</f>
        <v>16361109</v>
      </c>
      <c r="B70" s="11">
        <v>5.2999999999999999E-2</v>
      </c>
      <c r="C70" s="12">
        <f>(A70*B70)/365*91</f>
        <v>216190.76358082192</v>
      </c>
      <c r="D70" s="13">
        <f>C70+A132</f>
        <v>1077301.7635808219</v>
      </c>
      <c r="F70" s="61">
        <f>$A$132</f>
        <v>861111</v>
      </c>
    </row>
    <row r="71" spans="1:6" ht="15.75">
      <c r="A71" s="10" t="s">
        <v>44</v>
      </c>
      <c r="B71" s="11"/>
      <c r="C71" s="12"/>
      <c r="D71" s="13"/>
      <c r="F71" s="61"/>
    </row>
    <row r="72" spans="1:6" ht="15.75">
      <c r="A72" s="10">
        <f>A70-A132</f>
        <v>15499998</v>
      </c>
      <c r="B72" s="11">
        <v>5.2999999999999999E-2</v>
      </c>
      <c r="C72" s="12">
        <f>(A72*B72)/365*92</f>
        <v>207062.98698082188</v>
      </c>
      <c r="D72" s="13">
        <f>C72+A132</f>
        <v>1068173.9869808219</v>
      </c>
      <c r="F72" s="61">
        <f>$A$132</f>
        <v>861111</v>
      </c>
    </row>
    <row r="73" spans="1:6" ht="15.75">
      <c r="A73" s="10" t="s">
        <v>45</v>
      </c>
      <c r="B73" s="11"/>
      <c r="C73" s="12"/>
      <c r="D73" s="13"/>
      <c r="F73" s="61"/>
    </row>
    <row r="74" spans="1:6" ht="16.5" thickBot="1">
      <c r="A74" s="10">
        <f>A72-A132</f>
        <v>14638887</v>
      </c>
      <c r="B74" s="11">
        <v>5.2999999999999999E-2</v>
      </c>
      <c r="C74" s="14">
        <f>(A74*B74)/365*92</f>
        <v>195559.48770410958</v>
      </c>
      <c r="D74" s="13">
        <f>C74+A132</f>
        <v>1056670.4877041096</v>
      </c>
      <c r="F74" s="61">
        <f>$A$132</f>
        <v>861111</v>
      </c>
    </row>
    <row r="75" spans="1:6" ht="15.75">
      <c r="A75" s="15"/>
      <c r="B75" s="16" t="s">
        <v>19</v>
      </c>
      <c r="C75" s="17">
        <f>SUM(C68:C74)</f>
        <v>846382.4630876712</v>
      </c>
      <c r="D75" s="18"/>
      <c r="F75" s="62"/>
    </row>
    <row r="76" spans="1:6" ht="33.75" thickBot="1">
      <c r="A76" s="23"/>
      <c r="B76" s="24"/>
      <c r="C76" s="25" t="s">
        <v>46</v>
      </c>
      <c r="D76" s="26">
        <f>SUM(D68:D74)</f>
        <v>4290826.4630876714</v>
      </c>
      <c r="F76" s="64">
        <f>SUM(F68:F74)</f>
        <v>3444444</v>
      </c>
    </row>
    <row r="77" spans="1:6" ht="17.25" thickBot="1">
      <c r="A77" s="41"/>
      <c r="B77" s="42"/>
      <c r="C77" s="43"/>
      <c r="D77" s="44"/>
      <c r="F77" s="37"/>
    </row>
    <row r="78" spans="1:6" ht="39" thickBot="1">
      <c r="A78" s="45" t="s">
        <v>11</v>
      </c>
      <c r="B78" s="46" t="s">
        <v>12</v>
      </c>
      <c r="C78" s="46" t="s">
        <v>13</v>
      </c>
      <c r="D78" s="47" t="s">
        <v>14</v>
      </c>
      <c r="F78" s="59" t="s">
        <v>77</v>
      </c>
    </row>
    <row r="79" spans="1:6" ht="15.75">
      <c r="A79" s="6" t="s">
        <v>47</v>
      </c>
      <c r="B79" s="7"/>
      <c r="C79" s="8"/>
      <c r="D79" s="9"/>
      <c r="F79" s="60"/>
    </row>
    <row r="80" spans="1:6" ht="15.75">
      <c r="A80" s="10">
        <f>A74-A132</f>
        <v>13777776</v>
      </c>
      <c r="B80" s="11">
        <v>5.5E-2</v>
      </c>
      <c r="C80" s="12">
        <f>(A80*B80)/365*90</f>
        <v>186849.29095890411</v>
      </c>
      <c r="D80" s="13">
        <f>C80+A132</f>
        <v>1047960.2909589041</v>
      </c>
      <c r="F80" s="61">
        <f>$A$132</f>
        <v>861111</v>
      </c>
    </row>
    <row r="81" spans="1:6" ht="15.75">
      <c r="A81" s="10" t="s">
        <v>48</v>
      </c>
      <c r="B81" s="11"/>
      <c r="C81" s="12"/>
      <c r="D81" s="13"/>
      <c r="F81" s="61"/>
    </row>
    <row r="82" spans="1:6" ht="15.75">
      <c r="A82" s="10">
        <f>A80-A132</f>
        <v>12916665</v>
      </c>
      <c r="B82" s="11">
        <v>5.5E-2</v>
      </c>
      <c r="C82" s="12">
        <f>(A82*B82)/365*91</f>
        <v>177117.55705479451</v>
      </c>
      <c r="D82" s="13">
        <f>C82+A132</f>
        <v>1038228.5570547945</v>
      </c>
      <c r="F82" s="61">
        <f>$A$132</f>
        <v>861111</v>
      </c>
    </row>
    <row r="83" spans="1:6" ht="15.75">
      <c r="A83" s="10" t="s">
        <v>49</v>
      </c>
      <c r="B83" s="11"/>
      <c r="C83" s="12"/>
      <c r="D83" s="13"/>
      <c r="F83" s="61"/>
    </row>
    <row r="84" spans="1:6" ht="15.75">
      <c r="A84" s="10">
        <f>A82-A132</f>
        <v>12055554</v>
      </c>
      <c r="B84" s="11">
        <v>5.5E-2</v>
      </c>
      <c r="C84" s="12">
        <f>(A84*B84)/365*92</f>
        <v>167126.31024657533</v>
      </c>
      <c r="D84" s="13">
        <f>C84+A132</f>
        <v>1028237.3102465754</v>
      </c>
      <c r="F84" s="61">
        <f>$A$132</f>
        <v>861111</v>
      </c>
    </row>
    <row r="85" spans="1:6" ht="15.75">
      <c r="A85" s="10" t="s">
        <v>50</v>
      </c>
      <c r="B85" s="11"/>
      <c r="C85" s="12"/>
      <c r="D85" s="13"/>
      <c r="F85" s="61"/>
    </row>
    <row r="86" spans="1:6" ht="16.5" thickBot="1">
      <c r="A86" s="10">
        <f>A84-A132</f>
        <v>11194443</v>
      </c>
      <c r="B86" s="11">
        <v>5.5E-2</v>
      </c>
      <c r="C86" s="14">
        <f>(A86*B86)/365*92</f>
        <v>155188.71665753424</v>
      </c>
      <c r="D86" s="13">
        <f>C86+A132</f>
        <v>1016299.7166575342</v>
      </c>
      <c r="F86" s="61">
        <f>$A$132</f>
        <v>861111</v>
      </c>
    </row>
    <row r="87" spans="1:6" ht="15.75">
      <c r="A87" s="15"/>
      <c r="B87" s="16" t="s">
        <v>19</v>
      </c>
      <c r="C87" s="17">
        <f>SUM(C80:C86)</f>
        <v>686281.87491780822</v>
      </c>
      <c r="D87" s="18"/>
      <c r="F87" s="62"/>
    </row>
    <row r="88" spans="1:6" ht="33.75" thickBot="1">
      <c r="A88" s="23"/>
      <c r="B88" s="24"/>
      <c r="C88" s="25" t="s">
        <v>51</v>
      </c>
      <c r="D88" s="26">
        <f>SUM(D80:D86)</f>
        <v>4130725.874917808</v>
      </c>
      <c r="F88" s="64">
        <f>SUM(F80:F86)</f>
        <v>3444444</v>
      </c>
    </row>
    <row r="89" spans="1:6" ht="17.25" thickBot="1">
      <c r="A89" s="41"/>
      <c r="B89" s="42"/>
      <c r="C89" s="43"/>
      <c r="D89" s="44"/>
      <c r="F89" s="37"/>
    </row>
    <row r="90" spans="1:6" ht="39" thickBot="1">
      <c r="A90" s="45" t="s">
        <v>11</v>
      </c>
      <c r="B90" s="46" t="s">
        <v>12</v>
      </c>
      <c r="C90" s="46" t="s">
        <v>13</v>
      </c>
      <c r="D90" s="47" t="s">
        <v>14</v>
      </c>
      <c r="F90" s="59" t="s">
        <v>77</v>
      </c>
    </row>
    <row r="91" spans="1:6" ht="15.75">
      <c r="A91" s="6" t="s">
        <v>52</v>
      </c>
      <c r="B91" s="7"/>
      <c r="C91" s="8"/>
      <c r="D91" s="9"/>
      <c r="F91" s="60"/>
    </row>
    <row r="92" spans="1:6" ht="15.75">
      <c r="A92" s="10">
        <f>A86-A132</f>
        <v>10333332</v>
      </c>
      <c r="B92" s="11">
        <v>5.2999999999999999E-2</v>
      </c>
      <c r="C92" s="12">
        <f>(A92*B92)/365*90</f>
        <v>135041.07846575344</v>
      </c>
      <c r="D92" s="13">
        <f>C92+A132</f>
        <v>996152.07846575347</v>
      </c>
      <c r="F92" s="61">
        <f>$A$132</f>
        <v>861111</v>
      </c>
    </row>
    <row r="93" spans="1:6" ht="15.75">
      <c r="A93" s="10" t="s">
        <v>53</v>
      </c>
      <c r="B93" s="11"/>
      <c r="C93" s="12"/>
      <c r="D93" s="13"/>
      <c r="F93" s="61"/>
    </row>
    <row r="94" spans="1:6" ht="15.75">
      <c r="A94" s="10">
        <f>A92-A132</f>
        <v>9472221</v>
      </c>
      <c r="B94" s="11">
        <v>5.2999999999999999E-2</v>
      </c>
      <c r="C94" s="12">
        <f>(A94*B94)/365*91</f>
        <v>125163.07365205478</v>
      </c>
      <c r="D94" s="13">
        <f>C94+A132</f>
        <v>986274.07365205477</v>
      </c>
      <c r="F94" s="61">
        <f>$A$132</f>
        <v>861111</v>
      </c>
    </row>
    <row r="95" spans="1:6" ht="15.75">
      <c r="A95" s="10" t="s">
        <v>54</v>
      </c>
      <c r="B95" s="11"/>
      <c r="C95" s="12"/>
      <c r="D95" s="13"/>
      <c r="F95" s="61"/>
    </row>
    <row r="96" spans="1:6" ht="15.75">
      <c r="A96" s="10">
        <f>A94-A132</f>
        <v>8611110</v>
      </c>
      <c r="B96" s="11">
        <v>5.2999999999999999E-2</v>
      </c>
      <c r="C96" s="12">
        <f>(A96*B96)/365*92</f>
        <v>115034.99276712329</v>
      </c>
      <c r="D96" s="13">
        <f>C96+A132</f>
        <v>976145.99276712327</v>
      </c>
      <c r="F96" s="61">
        <f>$A$132</f>
        <v>861111</v>
      </c>
    </row>
    <row r="97" spans="1:6" ht="15.75">
      <c r="A97" s="10" t="s">
        <v>55</v>
      </c>
      <c r="B97" s="11"/>
      <c r="C97" s="12"/>
      <c r="D97" s="13"/>
      <c r="F97" s="61"/>
    </row>
    <row r="98" spans="1:6" ht="16.5" thickBot="1">
      <c r="A98" s="10">
        <f>A96-A132</f>
        <v>7749999</v>
      </c>
      <c r="B98" s="11">
        <v>5.2999999999999999E-2</v>
      </c>
      <c r="C98" s="14">
        <f>(A98*B98)/365*92</f>
        <v>103531.49349041094</v>
      </c>
      <c r="D98" s="13">
        <f>C98+A132</f>
        <v>964642.49349041097</v>
      </c>
      <c r="F98" s="61">
        <f>$A$132</f>
        <v>861111</v>
      </c>
    </row>
    <row r="99" spans="1:6" ht="15.75">
      <c r="A99" s="15"/>
      <c r="B99" s="16" t="s">
        <v>19</v>
      </c>
      <c r="C99" s="17">
        <f>SUM(C92:C98)</f>
        <v>478770.63837534247</v>
      </c>
      <c r="D99" s="18"/>
      <c r="F99" s="62"/>
    </row>
    <row r="100" spans="1:6" ht="33.75" thickBot="1">
      <c r="A100" s="23"/>
      <c r="B100" s="24"/>
      <c r="C100" s="25" t="s">
        <v>56</v>
      </c>
      <c r="D100" s="26">
        <f>SUM(D92:D98)</f>
        <v>3923214.6383753428</v>
      </c>
      <c r="F100" s="64">
        <f>SUM(F92:F98)</f>
        <v>3444444</v>
      </c>
    </row>
    <row r="101" spans="1:6" ht="17.25" thickBot="1">
      <c r="A101" s="41"/>
      <c r="B101" s="42"/>
      <c r="C101" s="43"/>
      <c r="D101" s="44"/>
      <c r="F101" s="37"/>
    </row>
    <row r="102" spans="1:6" ht="39" thickBot="1">
      <c r="A102" s="45" t="s">
        <v>11</v>
      </c>
      <c r="B102" s="46" t="s">
        <v>12</v>
      </c>
      <c r="C102" s="46" t="s">
        <v>13</v>
      </c>
      <c r="D102" s="47" t="s">
        <v>14</v>
      </c>
      <c r="F102" s="59" t="s">
        <v>77</v>
      </c>
    </row>
    <row r="103" spans="1:6" ht="15.75">
      <c r="A103" s="6" t="s">
        <v>57</v>
      </c>
      <c r="B103" s="7"/>
      <c r="C103" s="8"/>
      <c r="D103" s="9"/>
      <c r="F103" s="60"/>
    </row>
    <row r="104" spans="1:6" ht="15.75">
      <c r="A104" s="10">
        <f>A98-A132</f>
        <v>6888888</v>
      </c>
      <c r="B104" s="11">
        <v>0.05</v>
      </c>
      <c r="C104" s="12">
        <f>(A104*B104)/365*90</f>
        <v>84931.495890410966</v>
      </c>
      <c r="D104" s="13">
        <f>C104+A132</f>
        <v>946042.49589041097</v>
      </c>
      <c r="F104" s="61">
        <f>$A$132</f>
        <v>861111</v>
      </c>
    </row>
    <row r="105" spans="1:6" ht="15.75">
      <c r="A105" s="10" t="s">
        <v>58</v>
      </c>
      <c r="B105" s="11"/>
      <c r="C105" s="12"/>
      <c r="D105" s="13"/>
      <c r="F105" s="61"/>
    </row>
    <row r="106" spans="1:6" ht="15.75">
      <c r="A106" s="10">
        <f>A104-A132</f>
        <v>6027777</v>
      </c>
      <c r="B106" s="11">
        <v>0.05</v>
      </c>
      <c r="C106" s="12">
        <f>(A106*B106)/365*91</f>
        <v>75140.781780821926</v>
      </c>
      <c r="D106" s="13">
        <f>C106+A132</f>
        <v>936251.78178082197</v>
      </c>
      <c r="F106" s="61">
        <f>$A$132</f>
        <v>861111</v>
      </c>
    </row>
    <row r="107" spans="1:6" ht="15.75">
      <c r="A107" s="10" t="s">
        <v>59</v>
      </c>
      <c r="B107" s="11"/>
      <c r="C107" s="12"/>
      <c r="D107" s="13"/>
      <c r="F107" s="61"/>
    </row>
    <row r="108" spans="1:6" ht="15.75">
      <c r="A108" s="10">
        <f>A106-A132</f>
        <v>5166666</v>
      </c>
      <c r="B108" s="11">
        <v>0.05</v>
      </c>
      <c r="C108" s="12">
        <f>(A108*B108)/365*92</f>
        <v>65114.146849315075</v>
      </c>
      <c r="D108" s="13">
        <f>C108+A132</f>
        <v>926225.14684931503</v>
      </c>
      <c r="F108" s="61">
        <f>$A$132</f>
        <v>861111</v>
      </c>
    </row>
    <row r="109" spans="1:6" ht="15.75">
      <c r="A109" s="10" t="s">
        <v>60</v>
      </c>
      <c r="B109" s="11"/>
      <c r="C109" s="12"/>
      <c r="D109" s="13"/>
      <c r="F109" s="61"/>
    </row>
    <row r="110" spans="1:6" ht="16.5" thickBot="1">
      <c r="A110" s="10">
        <f>A108-A132</f>
        <v>4305555</v>
      </c>
      <c r="B110" s="11">
        <v>0.05</v>
      </c>
      <c r="C110" s="14">
        <f>(A110*B110)/365*92</f>
        <v>54261.789041095893</v>
      </c>
      <c r="D110" s="13">
        <f>C110+A132</f>
        <v>915372.78904109588</v>
      </c>
      <c r="F110" s="61">
        <f>$A$132</f>
        <v>861111</v>
      </c>
    </row>
    <row r="111" spans="1:6" ht="15.75">
      <c r="A111" s="15"/>
      <c r="B111" s="16" t="s">
        <v>19</v>
      </c>
      <c r="C111" s="17">
        <f>SUM(C104:C110)</f>
        <v>279448.21356164385</v>
      </c>
      <c r="D111" s="18"/>
      <c r="F111" s="62"/>
    </row>
    <row r="112" spans="1:6" ht="33.75" thickBot="1">
      <c r="A112" s="23"/>
      <c r="B112" s="24"/>
      <c r="C112" s="25" t="s">
        <v>61</v>
      </c>
      <c r="D112" s="26">
        <f>SUM(D104:D110)</f>
        <v>3723892.2135616438</v>
      </c>
      <c r="F112" s="64">
        <f>SUM(F104:F110)</f>
        <v>3444444</v>
      </c>
    </row>
    <row r="113" spans="1:6" ht="17.25" thickBot="1">
      <c r="A113" s="41"/>
      <c r="B113" s="42"/>
      <c r="C113" s="43"/>
      <c r="D113" s="44"/>
      <c r="F113" s="37"/>
    </row>
    <row r="114" spans="1:6" ht="39" thickBot="1">
      <c r="A114" s="45" t="s">
        <v>11</v>
      </c>
      <c r="B114" s="46" t="s">
        <v>12</v>
      </c>
      <c r="C114" s="46" t="s">
        <v>13</v>
      </c>
      <c r="D114" s="47" t="s">
        <v>14</v>
      </c>
      <c r="F114" s="59" t="s">
        <v>77</v>
      </c>
    </row>
    <row r="115" spans="1:6" ht="15.75">
      <c r="A115" s="6" t="s">
        <v>62</v>
      </c>
      <c r="B115" s="7"/>
      <c r="C115" s="8"/>
      <c r="D115" s="9"/>
      <c r="F115" s="60"/>
    </row>
    <row r="116" spans="1:6" ht="15.75">
      <c r="A116" s="10">
        <f>A110-A132</f>
        <v>3444444</v>
      </c>
      <c r="B116" s="11">
        <v>0.05</v>
      </c>
      <c r="C116" s="12">
        <f>(A116*B116)/365*91</f>
        <v>42937.589589041097</v>
      </c>
      <c r="D116" s="13">
        <f>C116+A132</f>
        <v>904048.58958904108</v>
      </c>
      <c r="F116" s="61">
        <f>$A$132</f>
        <v>861111</v>
      </c>
    </row>
    <row r="117" spans="1:6" ht="15.75">
      <c r="A117" s="10" t="s">
        <v>63</v>
      </c>
      <c r="B117" s="11"/>
      <c r="C117" s="12"/>
      <c r="D117" s="13"/>
      <c r="F117" s="61"/>
    </row>
    <row r="118" spans="1:6" ht="15.75">
      <c r="A118" s="10">
        <f>A116-A132</f>
        <v>2583333</v>
      </c>
      <c r="B118" s="11">
        <v>0.05</v>
      </c>
      <c r="C118" s="12">
        <f>(A118*B118)/365*91</f>
        <v>32203.192191780825</v>
      </c>
      <c r="D118" s="13">
        <f>C118+A132</f>
        <v>893314.19219178078</v>
      </c>
      <c r="F118" s="61">
        <f>$A$132</f>
        <v>861111</v>
      </c>
    </row>
    <row r="119" spans="1:6" ht="15.75">
      <c r="A119" s="10" t="s">
        <v>64</v>
      </c>
      <c r="B119" s="11"/>
      <c r="C119" s="12"/>
      <c r="D119" s="13"/>
      <c r="F119" s="61"/>
    </row>
    <row r="120" spans="1:6" ht="15.75">
      <c r="A120" s="10">
        <f>A118-A132</f>
        <v>1722222</v>
      </c>
      <c r="B120" s="11">
        <v>0.05</v>
      </c>
      <c r="C120" s="12">
        <f>(A120*B120)/365*92</f>
        <v>21704.71561643836</v>
      </c>
      <c r="D120" s="13">
        <f>C120+A132</f>
        <v>882815.71561643831</v>
      </c>
      <c r="F120" s="61">
        <f>$A$132</f>
        <v>861111</v>
      </c>
    </row>
    <row r="121" spans="1:6" ht="15.75">
      <c r="A121" s="10" t="s">
        <v>65</v>
      </c>
      <c r="B121" s="11"/>
      <c r="C121" s="12"/>
      <c r="D121" s="13"/>
      <c r="F121" s="61"/>
    </row>
    <row r="122" spans="1:6" ht="16.5" thickBot="1">
      <c r="A122" s="10">
        <f>A120-A132</f>
        <v>861111</v>
      </c>
      <c r="B122" s="11">
        <v>0.05</v>
      </c>
      <c r="C122" s="14">
        <f>(A122*B122)/365*92</f>
        <v>10852.35780821918</v>
      </c>
      <c r="D122" s="13">
        <f>C122+A132</f>
        <v>871963.35780821915</v>
      </c>
      <c r="F122" s="61">
        <f>$A$132</f>
        <v>861111</v>
      </c>
    </row>
    <row r="123" spans="1:6" ht="15.75">
      <c r="A123" s="15"/>
      <c r="B123" s="16" t="s">
        <v>19</v>
      </c>
      <c r="C123" s="17">
        <f>SUM(C116:C122)</f>
        <v>107697.85520547947</v>
      </c>
      <c r="D123" s="18"/>
      <c r="F123" s="62"/>
    </row>
    <row r="124" spans="1:6" ht="33.75" thickBot="1">
      <c r="A124" s="23"/>
      <c r="B124" s="24"/>
      <c r="C124" s="25" t="s">
        <v>66</v>
      </c>
      <c r="D124" s="26">
        <f>SUM(D116:D122)</f>
        <v>3552141.8552054791</v>
      </c>
      <c r="F124" s="64">
        <f>SUM(F116:F122)</f>
        <v>3444444</v>
      </c>
    </row>
    <row r="125" spans="1:6" ht="16.5">
      <c r="A125" s="41"/>
      <c r="B125" s="42"/>
      <c r="C125" s="43"/>
      <c r="D125" s="44"/>
    </row>
    <row r="126" spans="1:6" ht="18">
      <c r="A126" s="428" t="s">
        <v>67</v>
      </c>
      <c r="B126" s="428"/>
      <c r="C126" s="428"/>
      <c r="D126" s="48">
        <f>SUM(D128:D130)</f>
        <v>39532536.69024384</v>
      </c>
      <c r="F126" s="375">
        <f>SUM(F16,F28,F40,F52,F64,F76,F88,F100,F112,F124)</f>
        <v>31000000</v>
      </c>
    </row>
    <row r="127" spans="1:6" ht="16.5">
      <c r="A127" s="429" t="s">
        <v>68</v>
      </c>
      <c r="B127" s="429"/>
      <c r="C127" s="429"/>
      <c r="D127" s="49"/>
    </row>
    <row r="128" spans="1:6">
      <c r="A128" s="425" t="s">
        <v>69</v>
      </c>
      <c r="B128" s="425"/>
      <c r="C128" s="425"/>
      <c r="D128" s="50">
        <f>A132*35+A133</f>
        <v>31000000</v>
      </c>
    </row>
    <row r="129" spans="1:4">
      <c r="A129" s="425" t="s">
        <v>70</v>
      </c>
      <c r="B129" s="425"/>
      <c r="C129" s="425"/>
      <c r="D129" s="50">
        <f>SUM(C14,C27,C39,C51,C63,C75,C87,C99,C111,C123)</f>
        <v>8504636.6902438365</v>
      </c>
    </row>
    <row r="130" spans="1:4">
      <c r="A130" s="425" t="s">
        <v>71</v>
      </c>
      <c r="B130" s="425"/>
      <c r="C130" s="425"/>
      <c r="D130" s="50">
        <f>C15</f>
        <v>27900</v>
      </c>
    </row>
    <row r="131" spans="1:4">
      <c r="A131" s="51" t="s">
        <v>72</v>
      </c>
      <c r="B131" s="52"/>
    </row>
    <row r="132" spans="1:4" ht="15.75">
      <c r="A132" s="372">
        <v>861111</v>
      </c>
      <c r="B132" s="29" t="s">
        <v>316</v>
      </c>
    </row>
    <row r="133" spans="1:4" ht="15.75">
      <c r="A133" s="380">
        <v>861115</v>
      </c>
      <c r="B133" s="27" t="s">
        <v>145</v>
      </c>
      <c r="D133" s="29">
        <f>SUM(D129:D130)</f>
        <v>8532536.6902438365</v>
      </c>
    </row>
    <row r="135" spans="1:4" ht="15.75">
      <c r="A135" t="s">
        <v>73</v>
      </c>
      <c r="B135" s="54">
        <v>3.8600000000000002E-2</v>
      </c>
    </row>
    <row r="136" spans="1:4">
      <c r="A136" s="52" t="s">
        <v>74</v>
      </c>
      <c r="B136" s="55">
        <v>1.6578999999999999</v>
      </c>
    </row>
    <row r="137" spans="1:4">
      <c r="A137" s="52" t="s">
        <v>75</v>
      </c>
    </row>
    <row r="138" spans="1:4">
      <c r="B138" s="263">
        <f>3.86*165.79%</f>
        <v>6.3994939999999998</v>
      </c>
    </row>
    <row r="140" spans="1:4">
      <c r="B140">
        <v>18500000</v>
      </c>
    </row>
  </sheetData>
  <mergeCells count="7">
    <mergeCell ref="A130:C130"/>
    <mergeCell ref="A2:F2"/>
    <mergeCell ref="A3:D3"/>
    <mergeCell ref="A126:C126"/>
    <mergeCell ref="A127:C127"/>
    <mergeCell ref="A128:C128"/>
    <mergeCell ref="A129:C129"/>
  </mergeCells>
  <pageMargins left="0.22" right="0.22" top="0.28000000000000003" bottom="0.41" header="0.2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3"/>
  </sheetPr>
  <dimension ref="A2:G128"/>
  <sheetViews>
    <sheetView topLeftCell="A4" zoomScale="80" zoomScaleNormal="80" workbookViewId="0">
      <selection activeCell="A23" sqref="A23"/>
    </sheetView>
  </sheetViews>
  <sheetFormatPr defaultRowHeight="14.25"/>
  <cols>
    <col min="1" max="1" width="20" customWidth="1"/>
    <col min="2" max="2" width="17.5" customWidth="1"/>
    <col min="3" max="4" width="15.625" customWidth="1"/>
    <col min="5" max="5" width="2" customWidth="1"/>
    <col min="6" max="6" width="19.125" customWidth="1"/>
  </cols>
  <sheetData>
    <row r="2" spans="1:7" ht="67.5" customHeight="1">
      <c r="A2" s="426" t="s">
        <v>155</v>
      </c>
      <c r="B2" s="426"/>
      <c r="C2" s="426"/>
      <c r="D2" s="426"/>
      <c r="E2" s="426"/>
      <c r="F2" s="426"/>
    </row>
    <row r="3" spans="1:7">
      <c r="A3" s="427"/>
      <c r="B3" s="427"/>
      <c r="C3" s="427"/>
      <c r="D3" s="427"/>
      <c r="F3" s="57" t="s">
        <v>76</v>
      </c>
      <c r="G3" s="58"/>
    </row>
    <row r="4" spans="1:7" ht="15" thickBot="1">
      <c r="D4" s="2" t="s">
        <v>10</v>
      </c>
    </row>
    <row r="5" spans="1:7" ht="39" thickBot="1">
      <c r="A5" s="3" t="s">
        <v>11</v>
      </c>
      <c r="B5" s="4" t="s">
        <v>12</v>
      </c>
      <c r="C5" s="4" t="s">
        <v>13</v>
      </c>
      <c r="D5" s="5" t="s">
        <v>14</v>
      </c>
      <c r="F5" s="59" t="s">
        <v>77</v>
      </c>
    </row>
    <row r="6" spans="1:7" ht="15.75">
      <c r="A6" s="6" t="s">
        <v>22</v>
      </c>
      <c r="B6" s="7"/>
      <c r="C6" s="8"/>
      <c r="D6" s="9"/>
      <c r="F6" s="60"/>
    </row>
    <row r="7" spans="1:7" ht="15.75">
      <c r="A7" s="10"/>
      <c r="B7" s="11">
        <v>0</v>
      </c>
      <c r="C7" s="12">
        <f>(A7*B7)/365*90</f>
        <v>0</v>
      </c>
      <c r="D7" s="13">
        <v>0</v>
      </c>
      <c r="F7" s="61">
        <v>0</v>
      </c>
    </row>
    <row r="8" spans="1:7" ht="15.75">
      <c r="A8" s="10" t="s">
        <v>23</v>
      </c>
      <c r="B8" s="11"/>
      <c r="C8" s="12"/>
      <c r="D8" s="13"/>
      <c r="F8" s="61"/>
    </row>
    <row r="9" spans="1:7" ht="15.75">
      <c r="A9" s="10"/>
      <c r="B9" s="11">
        <v>0</v>
      </c>
      <c r="C9" s="12">
        <f>(A9*B9)/365*90</f>
        <v>0</v>
      </c>
      <c r="D9" s="13">
        <v>0</v>
      </c>
      <c r="F9" s="61">
        <v>0</v>
      </c>
    </row>
    <row r="10" spans="1:7" ht="15.75">
      <c r="A10" s="10" t="s">
        <v>24</v>
      </c>
      <c r="B10" s="11"/>
      <c r="C10" s="12"/>
      <c r="D10" s="13"/>
      <c r="F10" s="61"/>
    </row>
    <row r="11" spans="1:7" ht="15.75">
      <c r="A11" s="10"/>
      <c r="B11" s="11">
        <v>0</v>
      </c>
      <c r="C11" s="12">
        <f>(A11*B11)/365*90</f>
        <v>0</v>
      </c>
      <c r="D11" s="13">
        <v>0</v>
      </c>
      <c r="F11" s="61">
        <v>0</v>
      </c>
    </row>
    <row r="12" spans="1:7" ht="15.75">
      <c r="A12" s="10" t="s">
        <v>25</v>
      </c>
      <c r="B12" s="11"/>
      <c r="C12" s="12"/>
      <c r="D12" s="13"/>
      <c r="F12" s="61"/>
    </row>
    <row r="13" spans="1:7" ht="16.5" thickBot="1">
      <c r="A13" s="10">
        <f>'Zestawienie kredytów'!F37</f>
        <v>71000000</v>
      </c>
      <c r="B13" s="11">
        <v>0</v>
      </c>
      <c r="C13" s="14">
        <f>(A13*B13)/365*90</f>
        <v>0</v>
      </c>
      <c r="D13" s="13">
        <f>C13</f>
        <v>0</v>
      </c>
      <c r="F13" s="61">
        <f>E13</f>
        <v>0</v>
      </c>
    </row>
    <row r="14" spans="1:7" ht="15.75">
      <c r="A14" s="15"/>
      <c r="B14" s="16" t="s">
        <v>19</v>
      </c>
      <c r="C14" s="17">
        <f>SUM(C7:C13)</f>
        <v>0</v>
      </c>
      <c r="D14" s="18"/>
      <c r="F14" s="62"/>
    </row>
    <row r="15" spans="1:7" ht="15.75">
      <c r="A15" s="19"/>
      <c r="B15" s="20" t="s">
        <v>20</v>
      </c>
      <c r="C15" s="21">
        <f>0.4%*A13</f>
        <v>284000</v>
      </c>
      <c r="D15" s="22"/>
      <c r="F15" s="63"/>
    </row>
    <row r="16" spans="1:7" ht="33.75" thickBot="1">
      <c r="A16" s="23"/>
      <c r="B16" s="24"/>
      <c r="C16" s="25" t="s">
        <v>26</v>
      </c>
      <c r="D16" s="26">
        <f>SUM(D7:D13)+C15</f>
        <v>284000</v>
      </c>
      <c r="F16" s="64">
        <f>SUM(F7:F13)+E15</f>
        <v>0</v>
      </c>
    </row>
    <row r="17" spans="1:6" ht="15" thickBot="1">
      <c r="A17" s="27"/>
      <c r="B17" s="27"/>
      <c r="C17" s="27"/>
      <c r="D17" s="27"/>
      <c r="F17" s="67"/>
    </row>
    <row r="18" spans="1:6" ht="39" thickBot="1">
      <c r="A18" s="3" t="s">
        <v>11</v>
      </c>
      <c r="B18" s="4" t="s">
        <v>12</v>
      </c>
      <c r="C18" s="4" t="s">
        <v>13</v>
      </c>
      <c r="D18" s="5" t="s">
        <v>14</v>
      </c>
      <c r="F18" s="59" t="s">
        <v>77</v>
      </c>
    </row>
    <row r="19" spans="1:6" ht="15.75">
      <c r="A19" s="6" t="s">
        <v>27</v>
      </c>
      <c r="B19" s="7"/>
      <c r="C19" s="8"/>
      <c r="D19" s="9"/>
      <c r="F19" s="60"/>
    </row>
    <row r="20" spans="1:6" ht="15.75">
      <c r="A20" s="10">
        <f>A13</f>
        <v>71000000</v>
      </c>
      <c r="B20" s="11">
        <v>0.06</v>
      </c>
      <c r="C20" s="12">
        <f>(A20*B20)/365*180</f>
        <v>2100821.9178082193</v>
      </c>
      <c r="D20" s="13">
        <f>C20+A121</f>
        <v>2100821.9178082193</v>
      </c>
      <c r="F20" s="61">
        <f>$A$120</f>
        <v>2218750</v>
      </c>
    </row>
    <row r="21" spans="1:6" ht="15.75">
      <c r="A21" s="10" t="s">
        <v>28</v>
      </c>
      <c r="B21" s="11"/>
      <c r="C21" s="12"/>
      <c r="D21" s="13"/>
      <c r="F21" s="61"/>
    </row>
    <row r="22" spans="1:6" ht="15.75">
      <c r="A22" s="10">
        <f>A20-A120</f>
        <v>68781250</v>
      </c>
      <c r="B22" s="11">
        <v>0.06</v>
      </c>
      <c r="C22" s="12">
        <f>(A22*B22)/365*91</f>
        <v>1028892.1232876712</v>
      </c>
      <c r="D22" s="13">
        <f>C22+A120</f>
        <v>3247642.1232876712</v>
      </c>
      <c r="F22" s="61">
        <f>$A$120</f>
        <v>2218750</v>
      </c>
    </row>
    <row r="23" spans="1:6" ht="15.75">
      <c r="A23" s="10" t="s">
        <v>29</v>
      </c>
      <c r="B23" s="11"/>
      <c r="C23" s="12"/>
      <c r="D23" s="13"/>
      <c r="F23" s="61"/>
    </row>
    <row r="24" spans="1:6" ht="15.75">
      <c r="A24" s="10">
        <f>A22-A120</f>
        <v>66562500</v>
      </c>
      <c r="B24" s="11">
        <v>0.06</v>
      </c>
      <c r="C24" s="12">
        <f>(A24*B24)/365*92</f>
        <v>1006643.8356164383</v>
      </c>
      <c r="D24" s="13">
        <f>C24+A120</f>
        <v>3225393.8356164382</v>
      </c>
      <c r="F24" s="61">
        <f>$A$120</f>
        <v>2218750</v>
      </c>
    </row>
    <row r="25" spans="1:6" ht="15.75">
      <c r="A25" s="10" t="s">
        <v>30</v>
      </c>
      <c r="B25" s="11"/>
      <c r="C25" s="12"/>
      <c r="D25" s="13"/>
      <c r="F25" s="61"/>
    </row>
    <row r="26" spans="1:6" ht="16.5" thickBot="1">
      <c r="A26" s="10">
        <f>A24-A120</f>
        <v>64343750</v>
      </c>
      <c r="B26" s="11">
        <v>0.06</v>
      </c>
      <c r="C26" s="14">
        <f>(A26*B26)/365*92</f>
        <v>973089.04109589034</v>
      </c>
      <c r="D26" s="13">
        <f>C26+A120</f>
        <v>3191839.0410958901</v>
      </c>
      <c r="F26" s="61">
        <f>$A$120</f>
        <v>2218750</v>
      </c>
    </row>
    <row r="27" spans="1:6" ht="15.75">
      <c r="A27" s="15"/>
      <c r="B27" s="16" t="s">
        <v>19</v>
      </c>
      <c r="C27" s="17">
        <f>SUM(C20:C26)</f>
        <v>5109446.9178082189</v>
      </c>
      <c r="D27" s="18"/>
      <c r="F27" s="62"/>
    </row>
    <row r="28" spans="1:6" ht="33.75" thickBot="1">
      <c r="A28" s="30"/>
      <c r="B28" s="31"/>
      <c r="C28" s="32" t="s">
        <v>31</v>
      </c>
      <c r="D28" s="33">
        <f>SUM(D20:D26)</f>
        <v>11765696.917808218</v>
      </c>
      <c r="F28" s="66">
        <f>SUM(F20:F26)</f>
        <v>8875000</v>
      </c>
    </row>
    <row r="29" spans="1:6" ht="17.25" thickBot="1">
      <c r="A29" s="34"/>
      <c r="B29" s="35"/>
      <c r="C29" s="36"/>
      <c r="D29" s="37"/>
      <c r="F29" s="37"/>
    </row>
    <row r="30" spans="1:6" ht="39" thickBot="1">
      <c r="A30" s="38" t="s">
        <v>11</v>
      </c>
      <c r="B30" s="39" t="s">
        <v>12</v>
      </c>
      <c r="C30" s="39" t="s">
        <v>13</v>
      </c>
      <c r="D30" s="40" t="s">
        <v>14</v>
      </c>
      <c r="F30" s="59" t="s">
        <v>77</v>
      </c>
    </row>
    <row r="31" spans="1:6" ht="15.75">
      <c r="A31" s="6" t="s">
        <v>32</v>
      </c>
      <c r="B31" s="7"/>
      <c r="C31" s="8"/>
      <c r="D31" s="9"/>
      <c r="F31" s="60"/>
    </row>
    <row r="32" spans="1:6" ht="15.75">
      <c r="A32" s="10">
        <f>A26-A120</f>
        <v>62125000</v>
      </c>
      <c r="B32" s="11">
        <v>5.5E-2</v>
      </c>
      <c r="C32" s="12">
        <f>(A32*B32)/365*90</f>
        <v>842517.12328767113</v>
      </c>
      <c r="D32" s="13">
        <f>C32+A120</f>
        <v>3061267.1232876712</v>
      </c>
      <c r="F32" s="61">
        <f>$A$120</f>
        <v>2218750</v>
      </c>
    </row>
    <row r="33" spans="1:6" ht="15.75">
      <c r="A33" s="10" t="s">
        <v>33</v>
      </c>
      <c r="B33" s="11"/>
      <c r="C33" s="12"/>
      <c r="D33" s="13"/>
      <c r="F33" s="61"/>
    </row>
    <row r="34" spans="1:6" ht="15.75">
      <c r="A34" s="10">
        <f>A32-A120</f>
        <v>59906250</v>
      </c>
      <c r="B34" s="11">
        <v>5.5E-2</v>
      </c>
      <c r="C34" s="12">
        <f>(A34*B34)/365*91</f>
        <v>821454.19520547951</v>
      </c>
      <c r="D34" s="13">
        <f>C34+A120</f>
        <v>3040204.1952054794</v>
      </c>
      <c r="F34" s="61">
        <f>$A$120</f>
        <v>2218750</v>
      </c>
    </row>
    <row r="35" spans="1:6" ht="15.75">
      <c r="A35" s="10" t="s">
        <v>34</v>
      </c>
      <c r="B35" s="11"/>
      <c r="C35" s="12"/>
      <c r="D35" s="13"/>
      <c r="F35" s="61"/>
    </row>
    <row r="36" spans="1:6" ht="15.75">
      <c r="A36" s="10">
        <f>A34-A120</f>
        <v>57687500</v>
      </c>
      <c r="B36" s="11">
        <v>5.5E-2</v>
      </c>
      <c r="C36" s="12">
        <f>(A36*B36)/365*92</f>
        <v>799722.60273972596</v>
      </c>
      <c r="D36" s="13">
        <f>C36+A120</f>
        <v>3018472.6027397262</v>
      </c>
      <c r="F36" s="61">
        <f>$A$120</f>
        <v>2218750</v>
      </c>
    </row>
    <row r="37" spans="1:6" ht="15.75">
      <c r="A37" s="10" t="s">
        <v>35</v>
      </c>
      <c r="B37" s="11"/>
      <c r="C37" s="12"/>
      <c r="D37" s="13"/>
      <c r="F37" s="61"/>
    </row>
    <row r="38" spans="1:6" ht="16.5" thickBot="1">
      <c r="A38" s="10">
        <f>A36-A120</f>
        <v>55468750</v>
      </c>
      <c r="B38" s="11">
        <v>5.5E-2</v>
      </c>
      <c r="C38" s="14">
        <f>(A38*B38)/365*92</f>
        <v>768964.04109589034</v>
      </c>
      <c r="D38" s="13">
        <f>C38+A120</f>
        <v>2987714.0410958901</v>
      </c>
      <c r="F38" s="61">
        <f>$A$120</f>
        <v>2218750</v>
      </c>
    </row>
    <row r="39" spans="1:6" ht="15.75">
      <c r="A39" s="15"/>
      <c r="B39" s="16" t="s">
        <v>19</v>
      </c>
      <c r="C39" s="17">
        <f>SUM(C32:C38)</f>
        <v>3232657.9623287665</v>
      </c>
      <c r="D39" s="18"/>
      <c r="F39" s="62"/>
    </row>
    <row r="40" spans="1:6" ht="33.75" thickBot="1">
      <c r="A40" s="23"/>
      <c r="B40" s="24"/>
      <c r="C40" s="25" t="s">
        <v>36</v>
      </c>
      <c r="D40" s="26">
        <f>SUM(D32:D38)</f>
        <v>12107657.962328766</v>
      </c>
      <c r="F40" s="64">
        <f>SUM(F32:F38)</f>
        <v>8875000</v>
      </c>
    </row>
    <row r="41" spans="1:6" ht="17.25" thickBot="1">
      <c r="A41" s="41"/>
      <c r="B41" s="42"/>
      <c r="C41" s="43"/>
      <c r="D41" s="44"/>
      <c r="F41" s="37"/>
    </row>
    <row r="42" spans="1:6" ht="39" thickBot="1">
      <c r="A42" s="45" t="s">
        <v>11</v>
      </c>
      <c r="B42" s="46" t="s">
        <v>12</v>
      </c>
      <c r="C42" s="46" t="s">
        <v>13</v>
      </c>
      <c r="D42" s="47" t="s">
        <v>14</v>
      </c>
      <c r="F42" s="59" t="s">
        <v>77</v>
      </c>
    </row>
    <row r="43" spans="1:6" ht="15.75">
      <c r="A43" s="6" t="s">
        <v>37</v>
      </c>
      <c r="B43" s="7"/>
      <c r="C43" s="8"/>
      <c r="D43" s="9"/>
      <c r="F43" s="60"/>
    </row>
    <row r="44" spans="1:6" ht="15.75">
      <c r="A44" s="10">
        <f>A38-A120</f>
        <v>53250000</v>
      </c>
      <c r="B44" s="11">
        <v>5.1999999999999998E-2</v>
      </c>
      <c r="C44" s="12">
        <f>(A44*B44)/365*90</f>
        <v>682767.12328767125</v>
      </c>
      <c r="D44" s="13">
        <f>C44+A120</f>
        <v>2901517.1232876712</v>
      </c>
      <c r="F44" s="61">
        <f>$A$120</f>
        <v>2218750</v>
      </c>
    </row>
    <row r="45" spans="1:6" ht="15.75">
      <c r="A45" s="10" t="s">
        <v>38</v>
      </c>
      <c r="B45" s="11"/>
      <c r="C45" s="12"/>
      <c r="D45" s="13"/>
      <c r="F45" s="61"/>
    </row>
    <row r="46" spans="1:6" ht="15.75">
      <c r="A46" s="10">
        <f>A44-A120</f>
        <v>51031250</v>
      </c>
      <c r="B46" s="11">
        <v>5.1999999999999998E-2</v>
      </c>
      <c r="C46" s="12">
        <f>(A46*B46)/365*91</f>
        <v>661588.69863013702</v>
      </c>
      <c r="D46" s="13">
        <f>C46+A120</f>
        <v>2880338.6986301369</v>
      </c>
      <c r="F46" s="61">
        <f>$A$120</f>
        <v>2218750</v>
      </c>
    </row>
    <row r="47" spans="1:6" ht="15.75">
      <c r="A47" s="10" t="s">
        <v>39</v>
      </c>
      <c r="B47" s="11"/>
      <c r="C47" s="12"/>
      <c r="D47" s="13"/>
      <c r="F47" s="61"/>
    </row>
    <row r="48" spans="1:6" ht="15.75">
      <c r="A48" s="10">
        <f>A46-A120</f>
        <v>48812500</v>
      </c>
      <c r="B48" s="11">
        <v>5.1999999999999998E-2</v>
      </c>
      <c r="C48" s="12">
        <f>(A48*B48)/365*92</f>
        <v>639778.08219178079</v>
      </c>
      <c r="D48" s="13">
        <f>C48+A120</f>
        <v>2858528.0821917807</v>
      </c>
      <c r="F48" s="61">
        <f>$A$120</f>
        <v>2218750</v>
      </c>
    </row>
    <row r="49" spans="1:6" ht="15.75">
      <c r="A49" s="10" t="s">
        <v>40</v>
      </c>
      <c r="B49" s="11"/>
      <c r="C49" s="12"/>
      <c r="D49" s="13"/>
      <c r="F49" s="61"/>
    </row>
    <row r="50" spans="1:6" ht="16.5" thickBot="1">
      <c r="A50" s="10">
        <f>A48-A120</f>
        <v>46593750</v>
      </c>
      <c r="B50" s="11">
        <v>5.1999999999999998E-2</v>
      </c>
      <c r="C50" s="14">
        <f>(A50*B50)/365*92</f>
        <v>610697.26027397253</v>
      </c>
      <c r="D50" s="13">
        <f>C50+A120</f>
        <v>2829447.2602739725</v>
      </c>
      <c r="F50" s="61">
        <f>$A$120</f>
        <v>2218750</v>
      </c>
    </row>
    <row r="51" spans="1:6" ht="15.75">
      <c r="A51" s="15"/>
      <c r="B51" s="16" t="s">
        <v>19</v>
      </c>
      <c r="C51" s="17">
        <f>SUM(C44:C50)</f>
        <v>2594831.1643835614</v>
      </c>
      <c r="D51" s="18"/>
      <c r="F51" s="62"/>
    </row>
    <row r="52" spans="1:6" ht="33.75" thickBot="1">
      <c r="A52" s="23"/>
      <c r="B52" s="24"/>
      <c r="C52" s="25" t="s">
        <v>41</v>
      </c>
      <c r="D52" s="26">
        <f>SUM(D44:D50)</f>
        <v>11469831.16438356</v>
      </c>
      <c r="F52" s="64">
        <f>SUM(F44:F50)</f>
        <v>8875000</v>
      </c>
    </row>
    <row r="53" spans="1:6" ht="17.25" thickBot="1">
      <c r="A53" s="41"/>
      <c r="B53" s="42"/>
      <c r="C53" s="43"/>
      <c r="D53" s="44"/>
      <c r="F53" s="37"/>
    </row>
    <row r="54" spans="1:6" ht="39" thickBot="1">
      <c r="A54" s="45" t="s">
        <v>11</v>
      </c>
      <c r="B54" s="46" t="s">
        <v>12</v>
      </c>
      <c r="C54" s="46" t="s">
        <v>13</v>
      </c>
      <c r="D54" s="47" t="s">
        <v>14</v>
      </c>
      <c r="F54" s="59" t="s">
        <v>77</v>
      </c>
    </row>
    <row r="55" spans="1:6" ht="15.75">
      <c r="A55" s="6" t="s">
        <v>42</v>
      </c>
      <c r="B55" s="7"/>
      <c r="C55" s="8"/>
      <c r="D55" s="9"/>
      <c r="F55" s="60"/>
    </row>
    <row r="56" spans="1:6" ht="15.75">
      <c r="A56" s="10">
        <f>A50-A120</f>
        <v>44375000</v>
      </c>
      <c r="B56" s="11">
        <v>5.5E-2</v>
      </c>
      <c r="C56" s="12">
        <f>(A56*B56)/365*91</f>
        <v>608484.58904109581</v>
      </c>
      <c r="D56" s="13">
        <f>C56+A120</f>
        <v>2827234.5890410957</v>
      </c>
      <c r="F56" s="61">
        <f>$A$120</f>
        <v>2218750</v>
      </c>
    </row>
    <row r="57" spans="1:6" ht="15.75">
      <c r="A57" s="10" t="s">
        <v>43</v>
      </c>
      <c r="B57" s="11"/>
      <c r="C57" s="12"/>
      <c r="D57" s="13"/>
      <c r="F57" s="61"/>
    </row>
    <row r="58" spans="1:6" ht="15.75">
      <c r="A58" s="10">
        <f>A56-A120</f>
        <v>42156250</v>
      </c>
      <c r="B58" s="11">
        <v>5.5E-2</v>
      </c>
      <c r="C58" s="12">
        <f>(A58*B58)/365*91</f>
        <v>578060.35958904109</v>
      </c>
      <c r="D58" s="13">
        <f>C58+A120</f>
        <v>2796810.3595890412</v>
      </c>
      <c r="F58" s="61">
        <f>$A$120</f>
        <v>2218750</v>
      </c>
    </row>
    <row r="59" spans="1:6" ht="15.75">
      <c r="A59" s="10" t="s">
        <v>44</v>
      </c>
      <c r="B59" s="11"/>
      <c r="C59" s="12"/>
      <c r="D59" s="13"/>
      <c r="F59" s="61"/>
    </row>
    <row r="60" spans="1:6" ht="15.75">
      <c r="A60" s="10">
        <f>A58-A120</f>
        <v>39937500</v>
      </c>
      <c r="B60" s="11">
        <v>5.5E-2</v>
      </c>
      <c r="C60" s="12">
        <f>(A60*B60)/365*92</f>
        <v>553654.10958904109</v>
      </c>
      <c r="D60" s="13">
        <f>C60+A120</f>
        <v>2772404.1095890412</v>
      </c>
      <c r="F60" s="61">
        <f>$A$120</f>
        <v>2218750</v>
      </c>
    </row>
    <row r="61" spans="1:6" ht="15.75">
      <c r="A61" s="10" t="s">
        <v>45</v>
      </c>
      <c r="B61" s="11"/>
      <c r="C61" s="12"/>
      <c r="D61" s="13"/>
      <c r="F61" s="61"/>
    </row>
    <row r="62" spans="1:6" ht="16.5" thickBot="1">
      <c r="A62" s="10">
        <f>A60-A120</f>
        <v>37718750</v>
      </c>
      <c r="B62" s="11">
        <v>5.5E-2</v>
      </c>
      <c r="C62" s="14">
        <f>(A62*B62)/365*92</f>
        <v>522895.54794520547</v>
      </c>
      <c r="D62" s="13">
        <f>C62+A120</f>
        <v>2741645.5479452056</v>
      </c>
      <c r="F62" s="61">
        <f>$A$120</f>
        <v>2218750</v>
      </c>
    </row>
    <row r="63" spans="1:6" ht="15.75">
      <c r="A63" s="15"/>
      <c r="B63" s="16" t="s">
        <v>19</v>
      </c>
      <c r="C63" s="17">
        <f>SUM(C56:C62)</f>
        <v>2263094.6061643837</v>
      </c>
      <c r="D63" s="18"/>
      <c r="F63" s="62"/>
    </row>
    <row r="64" spans="1:6" ht="33.75" thickBot="1">
      <c r="A64" s="23"/>
      <c r="B64" s="24"/>
      <c r="C64" s="25" t="s">
        <v>46</v>
      </c>
      <c r="D64" s="26">
        <f>SUM(D56:D62)</f>
        <v>11138094.606164385</v>
      </c>
      <c r="F64" s="64">
        <f>SUM(F56:F62)</f>
        <v>8875000</v>
      </c>
    </row>
    <row r="65" spans="1:6" ht="17.25" thickBot="1">
      <c r="A65" s="41"/>
      <c r="B65" s="42"/>
      <c r="C65" s="43"/>
      <c r="D65" s="44"/>
      <c r="F65" s="37"/>
    </row>
    <row r="66" spans="1:6" ht="39" thickBot="1">
      <c r="A66" s="45" t="s">
        <v>11</v>
      </c>
      <c r="B66" s="46" t="s">
        <v>12</v>
      </c>
      <c r="C66" s="46" t="s">
        <v>13</v>
      </c>
      <c r="D66" s="47" t="s">
        <v>14</v>
      </c>
      <c r="F66" s="59" t="s">
        <v>77</v>
      </c>
    </row>
    <row r="67" spans="1:6" ht="15.75">
      <c r="A67" s="6" t="s">
        <v>47</v>
      </c>
      <c r="B67" s="7"/>
      <c r="C67" s="8"/>
      <c r="D67" s="9"/>
      <c r="F67" s="60"/>
    </row>
    <row r="68" spans="1:6" ht="15.75">
      <c r="A68" s="10">
        <f>A62-A120</f>
        <v>35500000</v>
      </c>
      <c r="B68" s="11">
        <v>5.6000000000000001E-2</v>
      </c>
      <c r="C68" s="12">
        <f>(A68*B68)/365*90</f>
        <v>490191.78082191781</v>
      </c>
      <c r="D68" s="13">
        <f>C68+A120</f>
        <v>2708941.7808219176</v>
      </c>
      <c r="F68" s="61">
        <f>$A$120</f>
        <v>2218750</v>
      </c>
    </row>
    <row r="69" spans="1:6" ht="15.75">
      <c r="A69" s="10" t="s">
        <v>48</v>
      </c>
      <c r="B69" s="11"/>
      <c r="C69" s="12"/>
      <c r="D69" s="13"/>
      <c r="F69" s="61"/>
    </row>
    <row r="70" spans="1:6" ht="15.75">
      <c r="A70" s="10">
        <f>A68-A120</f>
        <v>33281250</v>
      </c>
      <c r="B70" s="11">
        <v>5.6000000000000001E-2</v>
      </c>
      <c r="C70" s="12">
        <f>(A70*B70)/365*91</f>
        <v>464660.9589041096</v>
      </c>
      <c r="D70" s="13">
        <f>C70+A120</f>
        <v>2683410.9589041094</v>
      </c>
      <c r="F70" s="61">
        <f>$A$120</f>
        <v>2218750</v>
      </c>
    </row>
    <row r="71" spans="1:6" ht="15.75">
      <c r="A71" s="10" t="s">
        <v>49</v>
      </c>
      <c r="B71" s="11"/>
      <c r="C71" s="12"/>
      <c r="D71" s="13"/>
      <c r="F71" s="61"/>
    </row>
    <row r="72" spans="1:6" ht="15.75">
      <c r="A72" s="10">
        <f>A70-A120</f>
        <v>31062500</v>
      </c>
      <c r="B72" s="11">
        <v>5.6000000000000001E-2</v>
      </c>
      <c r="C72" s="12">
        <f>(A72*B72)/365*92</f>
        <v>438449.31506849313</v>
      </c>
      <c r="D72" s="13">
        <f>C72+A120</f>
        <v>2657199.3150684931</v>
      </c>
      <c r="F72" s="61">
        <f>$A$120</f>
        <v>2218750</v>
      </c>
    </row>
    <row r="73" spans="1:6" ht="15.75">
      <c r="A73" s="10" t="s">
        <v>50</v>
      </c>
      <c r="B73" s="11"/>
      <c r="C73" s="12"/>
      <c r="D73" s="13"/>
      <c r="F73" s="61"/>
    </row>
    <row r="74" spans="1:6" ht="16.5" thickBot="1">
      <c r="A74" s="10">
        <f>A72-A120</f>
        <v>28843750</v>
      </c>
      <c r="B74" s="11">
        <v>5.6000000000000001E-2</v>
      </c>
      <c r="C74" s="14">
        <f>(A74*B74)/365*92</f>
        <v>407131.50684931502</v>
      </c>
      <c r="D74" s="13">
        <f>C74+A120</f>
        <v>2625881.506849315</v>
      </c>
      <c r="F74" s="61">
        <f>$A$120</f>
        <v>2218750</v>
      </c>
    </row>
    <row r="75" spans="1:6" ht="15.75">
      <c r="A75" s="15"/>
      <c r="B75" s="16" t="s">
        <v>19</v>
      </c>
      <c r="C75" s="17">
        <f>SUM(C68:C74)</f>
        <v>1800433.5616438356</v>
      </c>
      <c r="D75" s="18"/>
      <c r="F75" s="62"/>
    </row>
    <row r="76" spans="1:6" ht="33.75" thickBot="1">
      <c r="A76" s="23"/>
      <c r="B76" s="24"/>
      <c r="C76" s="25" t="s">
        <v>51</v>
      </c>
      <c r="D76" s="26">
        <f>SUM(D68:D74)</f>
        <v>10675433.561643835</v>
      </c>
      <c r="F76" s="64">
        <f>SUM(F68:F74)</f>
        <v>8875000</v>
      </c>
    </row>
    <row r="77" spans="1:6" ht="17.25" thickBot="1">
      <c r="A77" s="41"/>
      <c r="B77" s="42"/>
      <c r="C77" s="43"/>
      <c r="D77" s="44"/>
      <c r="F77" s="37"/>
    </row>
    <row r="78" spans="1:6" ht="39" thickBot="1">
      <c r="A78" s="45" t="s">
        <v>11</v>
      </c>
      <c r="B78" s="46" t="s">
        <v>12</v>
      </c>
      <c r="C78" s="46" t="s">
        <v>13</v>
      </c>
      <c r="D78" s="47" t="s">
        <v>14</v>
      </c>
      <c r="F78" s="59" t="s">
        <v>77</v>
      </c>
    </row>
    <row r="79" spans="1:6" ht="15.75">
      <c r="A79" s="6" t="s">
        <v>52</v>
      </c>
      <c r="B79" s="7"/>
      <c r="C79" s="8"/>
      <c r="D79" s="9"/>
      <c r="F79" s="60"/>
    </row>
    <row r="80" spans="1:6" ht="15.75">
      <c r="A80" s="10">
        <f>A74-A120</f>
        <v>26625000</v>
      </c>
      <c r="B80" s="11">
        <v>5.2999999999999999E-2</v>
      </c>
      <c r="C80" s="12">
        <f>(A80*B80)/365*90</f>
        <v>347948.63013698632</v>
      </c>
      <c r="D80" s="13">
        <f>C80+A120</f>
        <v>2566698.6301369863</v>
      </c>
      <c r="F80" s="61">
        <f>$A$120</f>
        <v>2218750</v>
      </c>
    </row>
    <row r="81" spans="1:6" ht="15.75">
      <c r="A81" s="10" t="s">
        <v>53</v>
      </c>
      <c r="B81" s="11"/>
      <c r="C81" s="12"/>
      <c r="D81" s="13"/>
      <c r="F81" s="61"/>
    </row>
    <row r="82" spans="1:6" ht="15.75">
      <c r="A82" s="10">
        <f>A80-A120</f>
        <v>24406250</v>
      </c>
      <c r="B82" s="11">
        <v>5.2999999999999999E-2</v>
      </c>
      <c r="C82" s="12">
        <f>(A82*B82)/365*91</f>
        <v>322496.83219178079</v>
      </c>
      <c r="D82" s="13">
        <f>C82+A120</f>
        <v>2541246.8321917807</v>
      </c>
      <c r="F82" s="61">
        <f>$A$120</f>
        <v>2218750</v>
      </c>
    </row>
    <row r="83" spans="1:6" ht="15.75">
      <c r="A83" s="10" t="s">
        <v>54</v>
      </c>
      <c r="B83" s="11"/>
      <c r="C83" s="12"/>
      <c r="D83" s="13"/>
      <c r="F83" s="61"/>
    </row>
    <row r="84" spans="1:6" ht="15.75">
      <c r="A84" s="10">
        <f>A82-A120</f>
        <v>22187500</v>
      </c>
      <c r="B84" s="11">
        <v>5.2999999999999999E-2</v>
      </c>
      <c r="C84" s="12">
        <f>(A84*B84)/365*92</f>
        <v>296400.68493150687</v>
      </c>
      <c r="D84" s="13">
        <f>C84+A120</f>
        <v>2515150.6849315069</v>
      </c>
      <c r="F84" s="61">
        <f>$A$120</f>
        <v>2218750</v>
      </c>
    </row>
    <row r="85" spans="1:6" ht="15.75">
      <c r="A85" s="10" t="s">
        <v>55</v>
      </c>
      <c r="B85" s="11"/>
      <c r="C85" s="12"/>
      <c r="D85" s="13"/>
      <c r="F85" s="61"/>
    </row>
    <row r="86" spans="1:6" ht="16.5" thickBot="1">
      <c r="A86" s="10">
        <f>A84-A120</f>
        <v>19968750</v>
      </c>
      <c r="B86" s="11">
        <v>5.2999999999999999E-2</v>
      </c>
      <c r="C86" s="14">
        <f>(A86*B86)/365*92</f>
        <v>266760.61643835617</v>
      </c>
      <c r="D86" s="13">
        <f>C86+A120</f>
        <v>2485510.6164383562</v>
      </c>
      <c r="F86" s="61">
        <f>$A$120</f>
        <v>2218750</v>
      </c>
    </row>
    <row r="87" spans="1:6" ht="15.75">
      <c r="A87" s="15"/>
      <c r="B87" s="16" t="s">
        <v>19</v>
      </c>
      <c r="C87" s="17">
        <f>SUM(C80:C86)</f>
        <v>1233606.7636986303</v>
      </c>
      <c r="D87" s="18"/>
      <c r="F87" s="62"/>
    </row>
    <row r="88" spans="1:6" ht="33.75" thickBot="1">
      <c r="A88" s="23"/>
      <c r="B88" s="24"/>
      <c r="C88" s="25" t="s">
        <v>56</v>
      </c>
      <c r="D88" s="26">
        <f>SUM(D80:D86)</f>
        <v>10108606.76369863</v>
      </c>
      <c r="F88" s="64">
        <f>SUM(F80:F86)</f>
        <v>8875000</v>
      </c>
    </row>
    <row r="89" spans="1:6" ht="17.25" thickBot="1">
      <c r="A89" s="41"/>
      <c r="B89" s="42"/>
      <c r="C89" s="43"/>
      <c r="D89" s="44"/>
      <c r="F89" s="37"/>
    </row>
    <row r="90" spans="1:6" ht="39" thickBot="1">
      <c r="A90" s="45" t="s">
        <v>11</v>
      </c>
      <c r="B90" s="46" t="s">
        <v>12</v>
      </c>
      <c r="C90" s="46" t="s">
        <v>13</v>
      </c>
      <c r="D90" s="47" t="s">
        <v>14</v>
      </c>
      <c r="F90" s="59" t="s">
        <v>77</v>
      </c>
    </row>
    <row r="91" spans="1:6" ht="15.75">
      <c r="A91" s="6" t="s">
        <v>57</v>
      </c>
      <c r="B91" s="7"/>
      <c r="C91" s="8"/>
      <c r="D91" s="9"/>
      <c r="F91" s="60"/>
    </row>
    <row r="92" spans="1:6" ht="15.75">
      <c r="A92" s="10">
        <f>A86-A120</f>
        <v>17750000</v>
      </c>
      <c r="B92" s="11">
        <v>0.05</v>
      </c>
      <c r="C92" s="12">
        <f>(A92*B92)/365*90</f>
        <v>218835.61643835617</v>
      </c>
      <c r="D92" s="13">
        <f>C92+A120</f>
        <v>2437585.6164383562</v>
      </c>
      <c r="F92" s="61">
        <f>$A$120</f>
        <v>2218750</v>
      </c>
    </row>
    <row r="93" spans="1:6" ht="15.75">
      <c r="A93" s="10" t="s">
        <v>58</v>
      </c>
      <c r="B93" s="11"/>
      <c r="C93" s="12"/>
      <c r="D93" s="13"/>
      <c r="F93" s="61"/>
    </row>
    <row r="94" spans="1:6" ht="15.75">
      <c r="A94" s="10">
        <f>A92-A120</f>
        <v>15531250</v>
      </c>
      <c r="B94" s="11">
        <v>0.05</v>
      </c>
      <c r="C94" s="12">
        <f>(A94*B94)/365*91</f>
        <v>193608.73287671231</v>
      </c>
      <c r="D94" s="13">
        <f>C94+A120</f>
        <v>2412358.7328767125</v>
      </c>
      <c r="F94" s="61">
        <f>$A$120</f>
        <v>2218750</v>
      </c>
    </row>
    <row r="95" spans="1:6" ht="15.75">
      <c r="A95" s="10" t="s">
        <v>59</v>
      </c>
      <c r="B95" s="11"/>
      <c r="C95" s="12"/>
      <c r="D95" s="13"/>
      <c r="F95" s="61"/>
    </row>
    <row r="96" spans="1:6" ht="15.75">
      <c r="A96" s="10">
        <f>A94-A120</f>
        <v>13312500</v>
      </c>
      <c r="B96" s="11">
        <v>0.05</v>
      </c>
      <c r="C96" s="12">
        <f>(A96*B96)/365*92</f>
        <v>167773.97260273973</v>
      </c>
      <c r="D96" s="13">
        <f>C96+A120</f>
        <v>2386523.9726027399</v>
      </c>
      <c r="F96" s="61">
        <f>$A$120</f>
        <v>2218750</v>
      </c>
    </row>
    <row r="97" spans="1:6" ht="15.75">
      <c r="A97" s="10" t="s">
        <v>60</v>
      </c>
      <c r="B97" s="11"/>
      <c r="C97" s="12"/>
      <c r="D97" s="13"/>
      <c r="F97" s="61"/>
    </row>
    <row r="98" spans="1:6" ht="16.5" thickBot="1">
      <c r="A98" s="10">
        <f>A96-A120</f>
        <v>11093750</v>
      </c>
      <c r="B98" s="11">
        <v>0.05</v>
      </c>
      <c r="C98" s="14">
        <f>(A98*B98)/365*92</f>
        <v>139811.64383561644</v>
      </c>
      <c r="D98" s="13">
        <f>C98+A120</f>
        <v>2358561.6438356163</v>
      </c>
      <c r="F98" s="61">
        <f>$A$120</f>
        <v>2218750</v>
      </c>
    </row>
    <row r="99" spans="1:6" ht="15.75">
      <c r="A99" s="15"/>
      <c r="B99" s="16" t="s">
        <v>19</v>
      </c>
      <c r="C99" s="17">
        <f>SUM(C92:C98)</f>
        <v>720029.96575342456</v>
      </c>
      <c r="D99" s="18"/>
      <c r="F99" s="62"/>
    </row>
    <row r="100" spans="1:6" ht="33.75" thickBot="1">
      <c r="A100" s="23"/>
      <c r="B100" s="24"/>
      <c r="C100" s="25" t="s">
        <v>61</v>
      </c>
      <c r="D100" s="26">
        <f>SUM(D92:D98)</f>
        <v>9595029.9657534249</v>
      </c>
      <c r="F100" s="64">
        <f>SUM(F92:F98)</f>
        <v>8875000</v>
      </c>
    </row>
    <row r="101" spans="1:6" ht="17.25" thickBot="1">
      <c r="A101" s="41"/>
      <c r="B101" s="42"/>
      <c r="C101" s="43"/>
      <c r="D101" s="44"/>
      <c r="F101" s="37"/>
    </row>
    <row r="102" spans="1:6" ht="39" thickBot="1">
      <c r="A102" s="45" t="s">
        <v>11</v>
      </c>
      <c r="B102" s="46" t="s">
        <v>12</v>
      </c>
      <c r="C102" s="46" t="s">
        <v>13</v>
      </c>
      <c r="D102" s="47" t="s">
        <v>14</v>
      </c>
      <c r="F102" s="59" t="s">
        <v>77</v>
      </c>
    </row>
    <row r="103" spans="1:6" ht="15.75">
      <c r="A103" s="6" t="s">
        <v>62</v>
      </c>
      <c r="B103" s="7"/>
      <c r="C103" s="8"/>
      <c r="D103" s="9"/>
      <c r="F103" s="60"/>
    </row>
    <row r="104" spans="1:6" ht="15.75">
      <c r="A104" s="10">
        <f>A98-A120</f>
        <v>8875000</v>
      </c>
      <c r="B104" s="11">
        <v>0.05</v>
      </c>
      <c r="C104" s="12">
        <f>(A104*B104)/365*91</f>
        <v>110633.56164383561</v>
      </c>
      <c r="D104" s="13">
        <f>C104+A120</f>
        <v>2329383.5616438356</v>
      </c>
      <c r="F104" s="61">
        <f>$A$120</f>
        <v>2218750</v>
      </c>
    </row>
    <row r="105" spans="1:6" ht="15.75">
      <c r="A105" s="10" t="s">
        <v>63</v>
      </c>
      <c r="B105" s="11"/>
      <c r="C105" s="12"/>
      <c r="D105" s="13"/>
      <c r="F105" s="61"/>
    </row>
    <row r="106" spans="1:6" ht="15.75">
      <c r="A106" s="10">
        <f>A104-A120</f>
        <v>6656250</v>
      </c>
      <c r="B106" s="11">
        <v>0.05</v>
      </c>
      <c r="C106" s="12">
        <f>(A106*B106)/365*91</f>
        <v>82975.171232876703</v>
      </c>
      <c r="D106" s="13">
        <f>C106+A120</f>
        <v>2301725.1712328768</v>
      </c>
      <c r="F106" s="61">
        <f>$A$120</f>
        <v>2218750</v>
      </c>
    </row>
    <row r="107" spans="1:6" ht="15.75">
      <c r="A107" s="10" t="s">
        <v>64</v>
      </c>
      <c r="B107" s="11"/>
      <c r="C107" s="12"/>
      <c r="D107" s="13"/>
      <c r="F107" s="61"/>
    </row>
    <row r="108" spans="1:6" ht="15.75">
      <c r="A108" s="10">
        <f>A106-A120</f>
        <v>4437500</v>
      </c>
      <c r="B108" s="11">
        <v>0.05</v>
      </c>
      <c r="C108" s="12">
        <f>(A108*B108)/365*92</f>
        <v>55924.657534246573</v>
      </c>
      <c r="D108" s="13">
        <f>C108+A120</f>
        <v>2274674.6575342468</v>
      </c>
      <c r="F108" s="61">
        <f>$A$120</f>
        <v>2218750</v>
      </c>
    </row>
    <row r="109" spans="1:6" ht="15.75">
      <c r="A109" s="10" t="s">
        <v>65</v>
      </c>
      <c r="B109" s="11"/>
      <c r="C109" s="12"/>
      <c r="D109" s="13"/>
      <c r="F109" s="61"/>
    </row>
    <row r="110" spans="1:6" ht="16.5" thickBot="1">
      <c r="A110" s="10">
        <f>A108-A120</f>
        <v>2218750</v>
      </c>
      <c r="B110" s="11">
        <v>0.05</v>
      </c>
      <c r="C110" s="14">
        <f>(A110*B110)/365*92</f>
        <v>27962.328767123287</v>
      </c>
      <c r="D110" s="13">
        <f>C110+A120</f>
        <v>2246712.3287671232</v>
      </c>
      <c r="F110" s="61">
        <f>$A$120</f>
        <v>2218750</v>
      </c>
    </row>
    <row r="111" spans="1:6" ht="15.75">
      <c r="A111" s="15"/>
      <c r="B111" s="16" t="s">
        <v>19</v>
      </c>
      <c r="C111" s="17">
        <f>SUM(C104:C110)</f>
        <v>277495.71917808219</v>
      </c>
      <c r="D111" s="18"/>
      <c r="F111" s="62"/>
    </row>
    <row r="112" spans="1:6" ht="33.75" thickBot="1">
      <c r="A112" s="23"/>
      <c r="B112" s="24"/>
      <c r="C112" s="25" t="s">
        <v>66</v>
      </c>
      <c r="D112" s="26">
        <f>SUM(D104:D110)</f>
        <v>9152495.7191780824</v>
      </c>
      <c r="F112" s="64">
        <f>SUM(F104:F110)</f>
        <v>8875000</v>
      </c>
    </row>
    <row r="113" spans="1:6" ht="16.5">
      <c r="A113" s="41"/>
      <c r="B113" s="42"/>
      <c r="C113" s="43"/>
      <c r="D113" s="44"/>
    </row>
    <row r="114" spans="1:6" ht="18">
      <c r="A114" s="428" t="s">
        <v>67</v>
      </c>
      <c r="B114" s="428"/>
      <c r="C114" s="428"/>
      <c r="D114" s="48">
        <f>SUM(D116:D118)</f>
        <v>88515596.660958901</v>
      </c>
      <c r="F114" s="375">
        <f>SUM(F16,F28,F40,F52,F64,F76,F88,F100,F112)</f>
        <v>71000000</v>
      </c>
    </row>
    <row r="115" spans="1:6" ht="16.5">
      <c r="A115" s="429" t="s">
        <v>68</v>
      </c>
      <c r="B115" s="429"/>
      <c r="C115" s="429"/>
      <c r="D115" s="49"/>
    </row>
    <row r="116" spans="1:6">
      <c r="A116" s="425" t="s">
        <v>69</v>
      </c>
      <c r="B116" s="425"/>
      <c r="C116" s="425"/>
      <c r="D116" s="50">
        <f>A120*32</f>
        <v>71000000</v>
      </c>
    </row>
    <row r="117" spans="1:6">
      <c r="A117" s="425" t="s">
        <v>70</v>
      </c>
      <c r="B117" s="425"/>
      <c r="C117" s="425"/>
      <c r="D117" s="50">
        <f>SUM(C14,C27,C39,C51,C63,C75,C87,C99,C111)</f>
        <v>17231596.660958901</v>
      </c>
    </row>
    <row r="118" spans="1:6">
      <c r="A118" s="425" t="s">
        <v>71</v>
      </c>
      <c r="B118" s="425"/>
      <c r="C118" s="425"/>
      <c r="D118" s="50">
        <f>C15</f>
        <v>284000</v>
      </c>
    </row>
    <row r="119" spans="1:6">
      <c r="A119" s="51" t="s">
        <v>72</v>
      </c>
      <c r="B119" s="52"/>
    </row>
    <row r="120" spans="1:6" ht="15.75">
      <c r="A120" s="373">
        <v>2218750</v>
      </c>
      <c r="B120" s="370" t="s">
        <v>318</v>
      </c>
    </row>
    <row r="121" spans="1:6" ht="15.75">
      <c r="A121" s="374"/>
      <c r="B121" s="371"/>
      <c r="D121" s="29">
        <f>SUM(D117:D118)</f>
        <v>17515596.660958901</v>
      </c>
    </row>
    <row r="123" spans="1:6" ht="15.75">
      <c r="A123" t="s">
        <v>73</v>
      </c>
      <c r="B123" s="54">
        <v>3.8600000000000002E-2</v>
      </c>
    </row>
    <row r="124" spans="1:6">
      <c r="A124" s="52" t="s">
        <v>74</v>
      </c>
      <c r="B124" s="55">
        <v>1.6578999999999999</v>
      </c>
    </row>
    <row r="125" spans="1:6">
      <c r="A125" s="52" t="s">
        <v>75</v>
      </c>
    </row>
    <row r="126" spans="1:6">
      <c r="B126" s="112">
        <f>3.86*165.79%</f>
        <v>6.3994939999999998</v>
      </c>
    </row>
    <row r="128" spans="1:6">
      <c r="B128">
        <v>18500000</v>
      </c>
    </row>
  </sheetData>
  <mergeCells count="7">
    <mergeCell ref="A118:C118"/>
    <mergeCell ref="A2:F2"/>
    <mergeCell ref="A3:D3"/>
    <mergeCell ref="A114:C114"/>
    <mergeCell ref="A115:C115"/>
    <mergeCell ref="A116:C116"/>
    <mergeCell ref="A117:C117"/>
  </mergeCells>
  <pageMargins left="0.22" right="0.22" top="0.28000000000000003" bottom="0.41" header="0.2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3"/>
  </sheetPr>
  <dimension ref="A2:G128"/>
  <sheetViews>
    <sheetView topLeftCell="A10" zoomScale="80" zoomScaleNormal="80" workbookViewId="0">
      <selection activeCell="N42" sqref="N42"/>
    </sheetView>
  </sheetViews>
  <sheetFormatPr defaultRowHeight="14.25"/>
  <cols>
    <col min="1" max="1" width="20" customWidth="1"/>
    <col min="2" max="2" width="17.5" customWidth="1"/>
    <col min="3" max="4" width="15.625" customWidth="1"/>
    <col min="5" max="5" width="2" customWidth="1"/>
    <col min="6" max="6" width="19.125" customWidth="1"/>
  </cols>
  <sheetData>
    <row r="2" spans="1:7" ht="67.5" customHeight="1">
      <c r="A2" s="426" t="s">
        <v>155</v>
      </c>
      <c r="B2" s="426"/>
      <c r="C2" s="426"/>
      <c r="D2" s="426"/>
      <c r="E2" s="426"/>
      <c r="F2" s="426"/>
    </row>
    <row r="3" spans="1:7">
      <c r="A3" s="427"/>
      <c r="B3" s="427"/>
      <c r="C3" s="427"/>
      <c r="D3" s="427"/>
      <c r="F3" s="57" t="s">
        <v>76</v>
      </c>
      <c r="G3" s="58"/>
    </row>
    <row r="4" spans="1:7" ht="15" thickBot="1">
      <c r="D4" s="2" t="s">
        <v>10</v>
      </c>
    </row>
    <row r="5" spans="1:7" ht="39" thickBot="1">
      <c r="A5" s="3" t="s">
        <v>11</v>
      </c>
      <c r="B5" s="4" t="s">
        <v>12</v>
      </c>
      <c r="C5" s="4" t="s">
        <v>13</v>
      </c>
      <c r="D5" s="5" t="s">
        <v>14</v>
      </c>
      <c r="F5" s="59" t="s">
        <v>77</v>
      </c>
    </row>
    <row r="6" spans="1:7" ht="15.75">
      <c r="A6" s="6" t="s">
        <v>22</v>
      </c>
      <c r="B6" s="7"/>
      <c r="C6" s="8"/>
      <c r="D6" s="9"/>
      <c r="F6" s="60"/>
    </row>
    <row r="7" spans="1:7" ht="15.75">
      <c r="A7" s="10"/>
      <c r="B7" s="11">
        <v>0</v>
      </c>
      <c r="C7" s="12">
        <f>(A7*B7)/365*90</f>
        <v>0</v>
      </c>
      <c r="D7" s="13">
        <v>0</v>
      </c>
      <c r="F7" s="61">
        <v>0</v>
      </c>
    </row>
    <row r="8" spans="1:7" ht="15.75">
      <c r="A8" s="10" t="s">
        <v>23</v>
      </c>
      <c r="B8" s="11"/>
      <c r="C8" s="12"/>
      <c r="D8" s="13"/>
      <c r="F8" s="61"/>
    </row>
    <row r="9" spans="1:7" ht="15.75">
      <c r="A9" s="10"/>
      <c r="B9" s="11">
        <v>0</v>
      </c>
      <c r="C9" s="12">
        <f>(A9*B9)/365*90</f>
        <v>0</v>
      </c>
      <c r="D9" s="13">
        <v>0</v>
      </c>
      <c r="F9" s="61">
        <v>0</v>
      </c>
    </row>
    <row r="10" spans="1:7" ht="15.75">
      <c r="A10" s="10" t="s">
        <v>24</v>
      </c>
      <c r="B10" s="11"/>
      <c r="C10" s="12"/>
      <c r="D10" s="13"/>
      <c r="F10" s="61"/>
    </row>
    <row r="11" spans="1:7" ht="15.75">
      <c r="A11" s="10"/>
      <c r="B11" s="11">
        <v>0</v>
      </c>
      <c r="C11" s="12">
        <f>(A11*B11)/365*90</f>
        <v>0</v>
      </c>
      <c r="D11" s="13">
        <v>0</v>
      </c>
      <c r="F11" s="61">
        <v>0</v>
      </c>
    </row>
    <row r="12" spans="1:7" ht="15.75">
      <c r="A12" s="10" t="s">
        <v>25</v>
      </c>
      <c r="B12" s="11"/>
      <c r="C12" s="12"/>
      <c r="D12" s="13"/>
      <c r="F12" s="61"/>
    </row>
    <row r="13" spans="1:7" ht="16.5" thickBot="1">
      <c r="A13" s="10">
        <f>'Zestawienie kredytów'!F43</f>
        <v>64545126</v>
      </c>
      <c r="B13" s="11">
        <v>0</v>
      </c>
      <c r="C13" s="14">
        <f>(A13*B13)/365*90</f>
        <v>0</v>
      </c>
      <c r="D13" s="13">
        <f>C13</f>
        <v>0</v>
      </c>
      <c r="F13" s="61">
        <f>E13</f>
        <v>0</v>
      </c>
    </row>
    <row r="14" spans="1:7" ht="15.75">
      <c r="A14" s="15"/>
      <c r="B14" s="16" t="s">
        <v>19</v>
      </c>
      <c r="C14" s="17">
        <f>SUM(C7:C13)</f>
        <v>0</v>
      </c>
      <c r="D14" s="18"/>
      <c r="F14" s="62"/>
    </row>
    <row r="15" spans="1:7" ht="15.75">
      <c r="A15" s="19"/>
      <c r="B15" s="20" t="s">
        <v>20</v>
      </c>
      <c r="C15" s="21">
        <f>0.4%*A13</f>
        <v>258180.50400000002</v>
      </c>
      <c r="D15" s="22"/>
      <c r="F15" s="63"/>
    </row>
    <row r="16" spans="1:7" ht="33.75" thickBot="1">
      <c r="A16" s="23"/>
      <c r="B16" s="24"/>
      <c r="C16" s="25" t="s">
        <v>26</v>
      </c>
      <c r="D16" s="26">
        <f>SUM(D7:D13)+C15</f>
        <v>258180.50400000002</v>
      </c>
      <c r="F16" s="64">
        <f>SUM(F7:F13)+E15</f>
        <v>0</v>
      </c>
    </row>
    <row r="17" spans="1:6" ht="15" thickBot="1">
      <c r="A17" s="27"/>
      <c r="B17" s="27"/>
      <c r="C17" s="27"/>
      <c r="D17" s="27"/>
      <c r="F17" s="67"/>
    </row>
    <row r="18" spans="1:6" ht="39" thickBot="1">
      <c r="A18" s="3" t="s">
        <v>11</v>
      </c>
      <c r="B18" s="4" t="s">
        <v>12</v>
      </c>
      <c r="C18" s="4" t="s">
        <v>13</v>
      </c>
      <c r="D18" s="5" t="s">
        <v>14</v>
      </c>
      <c r="F18" s="59" t="s">
        <v>77</v>
      </c>
    </row>
    <row r="19" spans="1:6" ht="15.75">
      <c r="A19" s="6" t="s">
        <v>27</v>
      </c>
      <c r="B19" s="7"/>
      <c r="C19" s="8"/>
      <c r="D19" s="9"/>
      <c r="F19" s="60"/>
    </row>
    <row r="20" spans="1:6" ht="15.75">
      <c r="A20" s="10">
        <f>A13</f>
        <v>64545126</v>
      </c>
      <c r="B20" s="11">
        <v>6.0999999999999999E-2</v>
      </c>
      <c r="C20" s="12">
        <f>(A20*B20)/365*180</f>
        <v>1941658.858849315</v>
      </c>
      <c r="D20" s="13">
        <f>C20+A121</f>
        <v>3958699.858849315</v>
      </c>
      <c r="F20" s="61">
        <f>$A$121</f>
        <v>2017041</v>
      </c>
    </row>
    <row r="21" spans="1:6" ht="15.75">
      <c r="A21" s="10" t="s">
        <v>28</v>
      </c>
      <c r="B21" s="11"/>
      <c r="C21" s="12"/>
      <c r="D21" s="13"/>
      <c r="F21" s="61"/>
    </row>
    <row r="22" spans="1:6" ht="15.75">
      <c r="A22" s="10">
        <f>A20-A121</f>
        <v>62528085</v>
      </c>
      <c r="B22" s="11">
        <v>6.0999999999999999E-2</v>
      </c>
      <c r="C22" s="12">
        <f>(A22*B22)/365*91</f>
        <v>950940.82146575348</v>
      </c>
      <c r="D22" s="13">
        <f>C22+A120</f>
        <v>2967975.8214657535</v>
      </c>
      <c r="F22" s="61">
        <f>$A$120</f>
        <v>2017035</v>
      </c>
    </row>
    <row r="23" spans="1:6" ht="15.75">
      <c r="A23" s="10" t="s">
        <v>29</v>
      </c>
      <c r="B23" s="11"/>
      <c r="C23" s="12"/>
      <c r="D23" s="13"/>
      <c r="F23" s="61"/>
    </row>
    <row r="24" spans="1:6" ht="15.75">
      <c r="A24" s="10">
        <f>A22-A120</f>
        <v>60511050</v>
      </c>
      <c r="B24" s="11">
        <v>6.0999999999999999E-2</v>
      </c>
      <c r="C24" s="12">
        <f>(A24*B24)/365*92</f>
        <v>930378.11671232875</v>
      </c>
      <c r="D24" s="13">
        <f>C24+A120</f>
        <v>2947413.116712329</v>
      </c>
      <c r="F24" s="61">
        <f>$A$120</f>
        <v>2017035</v>
      </c>
    </row>
    <row r="25" spans="1:6" ht="15.75">
      <c r="A25" s="10" t="s">
        <v>30</v>
      </c>
      <c r="B25" s="11"/>
      <c r="C25" s="12"/>
      <c r="D25" s="13"/>
      <c r="F25" s="61"/>
    </row>
    <row r="26" spans="1:6" ht="16.5" thickBot="1">
      <c r="A26" s="10">
        <f>A24-A120</f>
        <v>58494015</v>
      </c>
      <c r="B26" s="11">
        <v>6.0999999999999999E-2</v>
      </c>
      <c r="C26" s="14">
        <f>(A26*B26)/365*92</f>
        <v>899365.51282191777</v>
      </c>
      <c r="D26" s="13">
        <f>C26+A120</f>
        <v>2916400.5128219179</v>
      </c>
      <c r="F26" s="61">
        <f>$A$120</f>
        <v>2017035</v>
      </c>
    </row>
    <row r="27" spans="1:6" ht="15.75">
      <c r="A27" s="15"/>
      <c r="B27" s="16" t="s">
        <v>19</v>
      </c>
      <c r="C27" s="17">
        <f>SUM(C20:C26)</f>
        <v>4722343.3098493144</v>
      </c>
      <c r="D27" s="18"/>
      <c r="F27" s="62"/>
    </row>
    <row r="28" spans="1:6" ht="33.75" thickBot="1">
      <c r="A28" s="30"/>
      <c r="B28" s="31"/>
      <c r="C28" s="32" t="s">
        <v>31</v>
      </c>
      <c r="D28" s="33">
        <f>SUM(D20:D26)</f>
        <v>12790489.309849316</v>
      </c>
      <c r="F28" s="66">
        <f>SUM(F20:F26)</f>
        <v>8068146</v>
      </c>
    </row>
    <row r="29" spans="1:6" ht="17.25" thickBot="1">
      <c r="A29" s="34"/>
      <c r="B29" s="35"/>
      <c r="C29" s="36"/>
      <c r="D29" s="37"/>
      <c r="F29" s="37"/>
    </row>
    <row r="30" spans="1:6" ht="39" thickBot="1">
      <c r="A30" s="38" t="s">
        <v>11</v>
      </c>
      <c r="B30" s="39" t="s">
        <v>12</v>
      </c>
      <c r="C30" s="39" t="s">
        <v>13</v>
      </c>
      <c r="D30" s="40" t="s">
        <v>14</v>
      </c>
      <c r="F30" s="59" t="s">
        <v>77</v>
      </c>
    </row>
    <row r="31" spans="1:6" ht="15.75">
      <c r="A31" s="6" t="s">
        <v>32</v>
      </c>
      <c r="B31" s="7"/>
      <c r="C31" s="8"/>
      <c r="D31" s="9"/>
      <c r="F31" s="60"/>
    </row>
    <row r="32" spans="1:6" ht="15.75">
      <c r="A32" s="10">
        <f>A26-A120</f>
        <v>56476980</v>
      </c>
      <c r="B32" s="11">
        <v>5.7000000000000002E-2</v>
      </c>
      <c r="C32" s="12">
        <f>(A32*B32)/365*90</f>
        <v>793772.34904109593</v>
      </c>
      <c r="D32" s="13">
        <f>C32+A120</f>
        <v>2810807.3490410959</v>
      </c>
      <c r="F32" s="61">
        <f>$A$120</f>
        <v>2017035</v>
      </c>
    </row>
    <row r="33" spans="1:6" ht="15.75">
      <c r="A33" s="10" t="s">
        <v>33</v>
      </c>
      <c r="B33" s="11"/>
      <c r="C33" s="12"/>
      <c r="D33" s="13"/>
      <c r="F33" s="61"/>
    </row>
    <row r="34" spans="1:6" ht="15.75">
      <c r="A34" s="10">
        <f>A32-A120</f>
        <v>54459945</v>
      </c>
      <c r="B34" s="11">
        <v>5.7000000000000002E-2</v>
      </c>
      <c r="C34" s="12">
        <f>(A34*B34)/365*91</f>
        <v>773928.04031506856</v>
      </c>
      <c r="D34" s="13">
        <f>C34+A120</f>
        <v>2790963.0403150683</v>
      </c>
      <c r="F34" s="61">
        <f>$A$120</f>
        <v>2017035</v>
      </c>
    </row>
    <row r="35" spans="1:6" ht="15.75">
      <c r="A35" s="10" t="s">
        <v>34</v>
      </c>
      <c r="B35" s="11"/>
      <c r="C35" s="12"/>
      <c r="D35" s="13"/>
      <c r="F35" s="61"/>
    </row>
    <row r="36" spans="1:6" ht="15.75">
      <c r="A36" s="10">
        <f>A34-A120</f>
        <v>52442910</v>
      </c>
      <c r="B36" s="11">
        <v>5.7000000000000002E-2</v>
      </c>
      <c r="C36" s="12">
        <f>(A36*B36)/365*92</f>
        <v>753453.75353424659</v>
      </c>
      <c r="D36" s="13">
        <f>C36+A120</f>
        <v>2770488.7535342467</v>
      </c>
      <c r="F36" s="61">
        <f>$A$120</f>
        <v>2017035</v>
      </c>
    </row>
    <row r="37" spans="1:6" ht="15.75">
      <c r="A37" s="10" t="s">
        <v>35</v>
      </c>
      <c r="B37" s="11"/>
      <c r="C37" s="12"/>
      <c r="D37" s="13"/>
      <c r="F37" s="61"/>
    </row>
    <row r="38" spans="1:6" ht="16.5" thickBot="1">
      <c r="A38" s="10">
        <f>A36-A120</f>
        <v>50425875</v>
      </c>
      <c r="B38" s="11">
        <v>5.7000000000000002E-2</v>
      </c>
      <c r="C38" s="14">
        <f>(A38*B38)/365*92</f>
        <v>724474.76301369863</v>
      </c>
      <c r="D38" s="13">
        <f>C38+A120</f>
        <v>2741509.7630136986</v>
      </c>
      <c r="F38" s="61">
        <f>$A$120</f>
        <v>2017035</v>
      </c>
    </row>
    <row r="39" spans="1:6" ht="15.75">
      <c r="A39" s="15"/>
      <c r="B39" s="16" t="s">
        <v>19</v>
      </c>
      <c r="C39" s="17">
        <f>SUM(C32:C38)</f>
        <v>3045628.9059041096</v>
      </c>
      <c r="D39" s="18"/>
      <c r="F39" s="62"/>
    </row>
    <row r="40" spans="1:6" ht="33.75" thickBot="1">
      <c r="A40" s="23"/>
      <c r="B40" s="24"/>
      <c r="C40" s="25" t="s">
        <v>36</v>
      </c>
      <c r="D40" s="26">
        <f>SUM(D32:D38)</f>
        <v>11113768.905904109</v>
      </c>
      <c r="F40" s="64">
        <f>SUM(F32:F38)</f>
        <v>8068140</v>
      </c>
    </row>
    <row r="41" spans="1:6" ht="17.25" thickBot="1">
      <c r="A41" s="41"/>
      <c r="B41" s="42"/>
      <c r="C41" s="43"/>
      <c r="D41" s="44"/>
      <c r="F41" s="37"/>
    </row>
    <row r="42" spans="1:6" ht="39" thickBot="1">
      <c r="A42" s="45" t="s">
        <v>11</v>
      </c>
      <c r="B42" s="46" t="s">
        <v>12</v>
      </c>
      <c r="C42" s="46" t="s">
        <v>13</v>
      </c>
      <c r="D42" s="47" t="s">
        <v>14</v>
      </c>
      <c r="F42" s="59" t="s">
        <v>77</v>
      </c>
    </row>
    <row r="43" spans="1:6" ht="15.75">
      <c r="A43" s="6" t="s">
        <v>37</v>
      </c>
      <c r="B43" s="7"/>
      <c r="C43" s="8"/>
      <c r="D43" s="9"/>
      <c r="F43" s="60"/>
    </row>
    <row r="44" spans="1:6" ht="15.75">
      <c r="A44" s="10">
        <f>A38-A120</f>
        <v>48408840</v>
      </c>
      <c r="B44" s="11">
        <v>5.7000000000000002E-2</v>
      </c>
      <c r="C44" s="12">
        <f>(A44*B44)/365*90</f>
        <v>680376.29917808215</v>
      </c>
      <c r="D44" s="13">
        <f>C44+A120</f>
        <v>2697411.299178082</v>
      </c>
      <c r="F44" s="61">
        <f>$A$120</f>
        <v>2017035</v>
      </c>
    </row>
    <row r="45" spans="1:6" ht="15.75">
      <c r="A45" s="10" t="s">
        <v>38</v>
      </c>
      <c r="B45" s="11"/>
      <c r="C45" s="12"/>
      <c r="D45" s="13"/>
      <c r="F45" s="61"/>
    </row>
    <row r="46" spans="1:6" ht="15.75">
      <c r="A46" s="10">
        <f>A44-A120</f>
        <v>46391805</v>
      </c>
      <c r="B46" s="11">
        <v>5.7000000000000002E-2</v>
      </c>
      <c r="C46" s="12">
        <f>(A46*B46)/365*91</f>
        <v>659272.03434246581</v>
      </c>
      <c r="D46" s="13">
        <f>C46+A120</f>
        <v>2676307.0343424659</v>
      </c>
      <c r="F46" s="61">
        <f>$A$120</f>
        <v>2017035</v>
      </c>
    </row>
    <row r="47" spans="1:6" ht="15.75">
      <c r="A47" s="10" t="s">
        <v>39</v>
      </c>
      <c r="B47" s="11"/>
      <c r="C47" s="12"/>
      <c r="D47" s="13"/>
      <c r="F47" s="61"/>
    </row>
    <row r="48" spans="1:6" ht="15.75">
      <c r="A48" s="10">
        <f>A46-A120</f>
        <v>44374770</v>
      </c>
      <c r="B48" s="11">
        <v>5.7000000000000002E-2</v>
      </c>
      <c r="C48" s="12">
        <f>(A48*B48)/365*92</f>
        <v>637537.79145205487</v>
      </c>
      <c r="D48" s="13">
        <f>C48+A120</f>
        <v>2654572.7914520549</v>
      </c>
      <c r="F48" s="61">
        <f>$A$120</f>
        <v>2017035</v>
      </c>
    </row>
    <row r="49" spans="1:6" ht="15.75">
      <c r="A49" s="10" t="s">
        <v>40</v>
      </c>
      <c r="B49" s="11"/>
      <c r="C49" s="12"/>
      <c r="D49" s="13"/>
      <c r="F49" s="61"/>
    </row>
    <row r="50" spans="1:6" ht="16.5" thickBot="1">
      <c r="A50" s="10">
        <f>A48-A120</f>
        <v>42357735</v>
      </c>
      <c r="B50" s="11">
        <v>5.7000000000000002E-2</v>
      </c>
      <c r="C50" s="14">
        <f>(A50*B50)/365*92</f>
        <v>608558.80093150691</v>
      </c>
      <c r="D50" s="13">
        <f>C50+A120</f>
        <v>2625593.8009315068</v>
      </c>
      <c r="F50" s="61">
        <f>$A$120</f>
        <v>2017035</v>
      </c>
    </row>
    <row r="51" spans="1:6" ht="15.75">
      <c r="A51" s="15"/>
      <c r="B51" s="16" t="s">
        <v>19</v>
      </c>
      <c r="C51" s="17">
        <f>SUM(C44:C50)</f>
        <v>2585744.9259041096</v>
      </c>
      <c r="D51" s="18"/>
      <c r="F51" s="62"/>
    </row>
    <row r="52" spans="1:6" ht="33.75" thickBot="1">
      <c r="A52" s="23"/>
      <c r="B52" s="24"/>
      <c r="C52" s="25" t="s">
        <v>41</v>
      </c>
      <c r="D52" s="26">
        <f>SUM(D44:D50)</f>
        <v>10653884.92590411</v>
      </c>
      <c r="F52" s="64">
        <f>SUM(F44:F50)</f>
        <v>8068140</v>
      </c>
    </row>
    <row r="53" spans="1:6" ht="17.25" thickBot="1">
      <c r="A53" s="41"/>
      <c r="B53" s="42"/>
      <c r="C53" s="43"/>
      <c r="D53" s="44"/>
      <c r="F53" s="37"/>
    </row>
    <row r="54" spans="1:6" ht="39" thickBot="1">
      <c r="A54" s="45" t="s">
        <v>11</v>
      </c>
      <c r="B54" s="46" t="s">
        <v>12</v>
      </c>
      <c r="C54" s="46" t="s">
        <v>13</v>
      </c>
      <c r="D54" s="47" t="s">
        <v>14</v>
      </c>
      <c r="F54" s="59" t="s">
        <v>77</v>
      </c>
    </row>
    <row r="55" spans="1:6" ht="15.75">
      <c r="A55" s="6" t="s">
        <v>42</v>
      </c>
      <c r="B55" s="7"/>
      <c r="C55" s="8"/>
      <c r="D55" s="9"/>
      <c r="F55" s="60"/>
    </row>
    <row r="56" spans="1:6" ht="15.75">
      <c r="A56" s="10">
        <f>A50-A120</f>
        <v>40340700</v>
      </c>
      <c r="B56" s="11">
        <v>5.7000000000000002E-2</v>
      </c>
      <c r="C56" s="12">
        <f>(A56*B56)/365*91</f>
        <v>573280.02986301365</v>
      </c>
      <c r="D56" s="13">
        <f>C56+A120</f>
        <v>2590315.0298630139</v>
      </c>
      <c r="F56" s="61">
        <f>$A$120</f>
        <v>2017035</v>
      </c>
    </row>
    <row r="57" spans="1:6" ht="15.75">
      <c r="A57" s="10" t="s">
        <v>43</v>
      </c>
      <c r="B57" s="11"/>
      <c r="C57" s="12"/>
      <c r="D57" s="13"/>
      <c r="F57" s="61"/>
    </row>
    <row r="58" spans="1:6" ht="15.75">
      <c r="A58" s="10">
        <f>A56-A120</f>
        <v>38323665</v>
      </c>
      <c r="B58" s="11">
        <v>5.7000000000000002E-2</v>
      </c>
      <c r="C58" s="12">
        <f>(A58*B58)/365*91</f>
        <v>544616.02836986305</v>
      </c>
      <c r="D58" s="13">
        <f>C58+A120</f>
        <v>2561651.0283698631</v>
      </c>
      <c r="F58" s="61">
        <f>$A$120</f>
        <v>2017035</v>
      </c>
    </row>
    <row r="59" spans="1:6" ht="15.75">
      <c r="A59" s="10" t="s">
        <v>44</v>
      </c>
      <c r="B59" s="11"/>
      <c r="C59" s="12"/>
      <c r="D59" s="13"/>
      <c r="F59" s="61"/>
    </row>
    <row r="60" spans="1:6" ht="15.75">
      <c r="A60" s="10">
        <f>A58-A120</f>
        <v>36306630</v>
      </c>
      <c r="B60" s="11">
        <v>5.7000000000000002E-2</v>
      </c>
      <c r="C60" s="12">
        <f>(A60*B60)/365*92</f>
        <v>521621.82936986303</v>
      </c>
      <c r="D60" s="13">
        <f>C60+A120</f>
        <v>2538656.829369863</v>
      </c>
      <c r="F60" s="61">
        <f>$A$120</f>
        <v>2017035</v>
      </c>
    </row>
    <row r="61" spans="1:6" ht="15.75">
      <c r="A61" s="10" t="s">
        <v>45</v>
      </c>
      <c r="B61" s="11"/>
      <c r="C61" s="12"/>
      <c r="D61" s="13"/>
      <c r="F61" s="61"/>
    </row>
    <row r="62" spans="1:6" ht="16.5" thickBot="1">
      <c r="A62" s="10">
        <f>A60-A120</f>
        <v>34289595</v>
      </c>
      <c r="B62" s="11">
        <v>5.7000000000000002E-2</v>
      </c>
      <c r="C62" s="14">
        <f>(A62*B62)/365*92</f>
        <v>492642.83884931507</v>
      </c>
      <c r="D62" s="13">
        <f>C62+A120</f>
        <v>2509677.838849315</v>
      </c>
      <c r="F62" s="61">
        <f>$A$120</f>
        <v>2017035</v>
      </c>
    </row>
    <row r="63" spans="1:6" ht="15.75">
      <c r="A63" s="15"/>
      <c r="B63" s="16" t="s">
        <v>19</v>
      </c>
      <c r="C63" s="17">
        <f>SUM(C56:C62)</f>
        <v>2132160.7264520549</v>
      </c>
      <c r="D63" s="18"/>
      <c r="F63" s="62"/>
    </row>
    <row r="64" spans="1:6" ht="33.75" thickBot="1">
      <c r="A64" s="23"/>
      <c r="B64" s="24"/>
      <c r="C64" s="25" t="s">
        <v>46</v>
      </c>
      <c r="D64" s="26">
        <f>SUM(D56:D62)</f>
        <v>10200300.726452056</v>
      </c>
      <c r="F64" s="64">
        <f>SUM(F56:F62)</f>
        <v>8068140</v>
      </c>
    </row>
    <row r="65" spans="1:6" ht="17.25" thickBot="1">
      <c r="A65" s="41"/>
      <c r="B65" s="42"/>
      <c r="C65" s="43"/>
      <c r="D65" s="44"/>
      <c r="F65" s="37"/>
    </row>
    <row r="66" spans="1:6" ht="39" thickBot="1">
      <c r="A66" s="45" t="s">
        <v>11</v>
      </c>
      <c r="B66" s="46" t="s">
        <v>12</v>
      </c>
      <c r="C66" s="46" t="s">
        <v>13</v>
      </c>
      <c r="D66" s="47" t="s">
        <v>14</v>
      </c>
      <c r="F66" s="59" t="s">
        <v>77</v>
      </c>
    </row>
    <row r="67" spans="1:6" ht="15.75">
      <c r="A67" s="6" t="s">
        <v>47</v>
      </c>
      <c r="B67" s="7"/>
      <c r="C67" s="8"/>
      <c r="D67" s="9"/>
      <c r="F67" s="60"/>
    </row>
    <row r="68" spans="1:6" ht="15.75">
      <c r="A68" s="10">
        <f>A62-A120</f>
        <v>32272560</v>
      </c>
      <c r="B68" s="11">
        <v>0.06</v>
      </c>
      <c r="C68" s="12">
        <f>(A68*B68)/365*90</f>
        <v>477457.05205479445</v>
      </c>
      <c r="D68" s="13">
        <f>C68+A120</f>
        <v>2494492.0520547945</v>
      </c>
      <c r="F68" s="61">
        <f>$A$120</f>
        <v>2017035</v>
      </c>
    </row>
    <row r="69" spans="1:6" ht="15.75">
      <c r="A69" s="10" t="s">
        <v>48</v>
      </c>
      <c r="B69" s="11"/>
      <c r="C69" s="12"/>
      <c r="D69" s="13"/>
      <c r="F69" s="61"/>
    </row>
    <row r="70" spans="1:6" ht="15.75">
      <c r="A70" s="10">
        <f>A68-A120</f>
        <v>30255525</v>
      </c>
      <c r="B70" s="11">
        <v>0.06</v>
      </c>
      <c r="C70" s="12">
        <f>(A70*B70)/365*91</f>
        <v>452589.49726027396</v>
      </c>
      <c r="D70" s="13">
        <f>C70+A120</f>
        <v>2469624.4972602739</v>
      </c>
      <c r="F70" s="61">
        <f>$A$120</f>
        <v>2017035</v>
      </c>
    </row>
    <row r="71" spans="1:6" ht="15.75">
      <c r="A71" s="10" t="s">
        <v>49</v>
      </c>
      <c r="B71" s="11"/>
      <c r="C71" s="12"/>
      <c r="D71" s="13"/>
      <c r="F71" s="61"/>
    </row>
    <row r="72" spans="1:6" ht="15.75">
      <c r="A72" s="10">
        <f>A70-A120</f>
        <v>28238490</v>
      </c>
      <c r="B72" s="11">
        <v>0.06</v>
      </c>
      <c r="C72" s="12">
        <f>(A72*B72)/365*92</f>
        <v>427058.80767123285</v>
      </c>
      <c r="D72" s="13">
        <f>C72+A120</f>
        <v>2444093.8076712331</v>
      </c>
      <c r="F72" s="61">
        <f>$A$120</f>
        <v>2017035</v>
      </c>
    </row>
    <row r="73" spans="1:6" ht="15.75">
      <c r="A73" s="10" t="s">
        <v>50</v>
      </c>
      <c r="B73" s="11"/>
      <c r="C73" s="12"/>
      <c r="D73" s="13"/>
      <c r="F73" s="61"/>
    </row>
    <row r="74" spans="1:6" ht="16.5" thickBot="1">
      <c r="A74" s="10">
        <f>A72-A120</f>
        <v>26221455</v>
      </c>
      <c r="B74" s="11">
        <v>0.06</v>
      </c>
      <c r="C74" s="14">
        <f>(A74*B74)/365*92</f>
        <v>396554.60712328763</v>
      </c>
      <c r="D74" s="13">
        <f>C74+A120</f>
        <v>2413589.6071232874</v>
      </c>
      <c r="F74" s="61">
        <f>$A$120</f>
        <v>2017035</v>
      </c>
    </row>
    <row r="75" spans="1:6" ht="15.75">
      <c r="A75" s="15"/>
      <c r="B75" s="16" t="s">
        <v>19</v>
      </c>
      <c r="C75" s="17">
        <f>SUM(C68:C74)</f>
        <v>1753659.9641095889</v>
      </c>
      <c r="D75" s="18"/>
      <c r="F75" s="62"/>
    </row>
    <row r="76" spans="1:6" ht="33.75" thickBot="1">
      <c r="A76" s="23"/>
      <c r="B76" s="24"/>
      <c r="C76" s="25" t="s">
        <v>51</v>
      </c>
      <c r="D76" s="26">
        <f>SUM(D68:D74)</f>
        <v>9821799.9641095884</v>
      </c>
      <c r="F76" s="64">
        <f>SUM(F68:F74)</f>
        <v>8068140</v>
      </c>
    </row>
    <row r="77" spans="1:6" ht="17.25" thickBot="1">
      <c r="A77" s="41"/>
      <c r="B77" s="42"/>
      <c r="C77" s="43"/>
      <c r="D77" s="44"/>
      <c r="F77" s="37"/>
    </row>
    <row r="78" spans="1:6" ht="39" thickBot="1">
      <c r="A78" s="45" t="s">
        <v>11</v>
      </c>
      <c r="B78" s="46" t="s">
        <v>12</v>
      </c>
      <c r="C78" s="46" t="s">
        <v>13</v>
      </c>
      <c r="D78" s="47" t="s">
        <v>14</v>
      </c>
      <c r="F78" s="59" t="s">
        <v>77</v>
      </c>
    </row>
    <row r="79" spans="1:6" ht="15.75">
      <c r="A79" s="6" t="s">
        <v>52</v>
      </c>
      <c r="B79" s="7"/>
      <c r="C79" s="8"/>
      <c r="D79" s="9"/>
      <c r="F79" s="60"/>
    </row>
    <row r="80" spans="1:6" ht="15.75">
      <c r="A80" s="10">
        <f>A74-A120</f>
        <v>24204420</v>
      </c>
      <c r="B80" s="11">
        <v>5.8000000000000003E-2</v>
      </c>
      <c r="C80" s="12">
        <f>(A80*B80)/365*90</f>
        <v>346156.36273972609</v>
      </c>
      <c r="D80" s="13">
        <f>C80+A120</f>
        <v>2363191.362739726</v>
      </c>
      <c r="F80" s="61">
        <f>$A$120</f>
        <v>2017035</v>
      </c>
    </row>
    <row r="81" spans="1:6" ht="15.75">
      <c r="A81" s="10" t="s">
        <v>53</v>
      </c>
      <c r="B81" s="11"/>
      <c r="C81" s="12"/>
      <c r="D81" s="13"/>
      <c r="F81" s="61"/>
    </row>
    <row r="82" spans="1:6" ht="15.75">
      <c r="A82" s="10">
        <f>A80-A120</f>
        <v>22187385</v>
      </c>
      <c r="B82" s="11">
        <v>5.8000000000000003E-2</v>
      </c>
      <c r="C82" s="12">
        <f>(A82*B82)/365*91</f>
        <v>320835.66583561647</v>
      </c>
      <c r="D82" s="13">
        <f>C82+A120</f>
        <v>2337870.6658356166</v>
      </c>
      <c r="F82" s="61">
        <f>$A$120</f>
        <v>2017035</v>
      </c>
    </row>
    <row r="83" spans="1:6" ht="15.75">
      <c r="A83" s="10" t="s">
        <v>54</v>
      </c>
      <c r="B83" s="11"/>
      <c r="C83" s="12"/>
      <c r="D83" s="13"/>
      <c r="F83" s="61"/>
    </row>
    <row r="84" spans="1:6" ht="15.75">
      <c r="A84" s="10">
        <f>A82-A120</f>
        <v>20170350</v>
      </c>
      <c r="B84" s="11">
        <v>5.8000000000000003E-2</v>
      </c>
      <c r="C84" s="12">
        <f>(A84*B84)/365*92</f>
        <v>294873.93863013701</v>
      </c>
      <c r="D84" s="13">
        <f>C84+A120</f>
        <v>2311908.9386301371</v>
      </c>
      <c r="F84" s="61">
        <f>$A$120</f>
        <v>2017035</v>
      </c>
    </row>
    <row r="85" spans="1:6" ht="15.75">
      <c r="A85" s="10" t="s">
        <v>55</v>
      </c>
      <c r="B85" s="11"/>
      <c r="C85" s="12"/>
      <c r="D85" s="13"/>
      <c r="F85" s="61"/>
    </row>
    <row r="86" spans="1:6" ht="16.5" thickBot="1">
      <c r="A86" s="10">
        <f>A84-A120</f>
        <v>18153315</v>
      </c>
      <c r="B86" s="11">
        <v>5.8000000000000003E-2</v>
      </c>
      <c r="C86" s="14">
        <f>(A86*B86)/365*92</f>
        <v>265386.5447671233</v>
      </c>
      <c r="D86" s="13">
        <f>C86+A120</f>
        <v>2282421.5447671232</v>
      </c>
      <c r="F86" s="61">
        <f>$A$120</f>
        <v>2017035</v>
      </c>
    </row>
    <row r="87" spans="1:6" ht="15.75">
      <c r="A87" s="15"/>
      <c r="B87" s="16" t="s">
        <v>19</v>
      </c>
      <c r="C87" s="17">
        <f>SUM(C80:C86)</f>
        <v>1227252.5119726029</v>
      </c>
      <c r="D87" s="18"/>
      <c r="F87" s="62"/>
    </row>
    <row r="88" spans="1:6" ht="33.75" thickBot="1">
      <c r="A88" s="23"/>
      <c r="B88" s="24"/>
      <c r="C88" s="25" t="s">
        <v>56</v>
      </c>
      <c r="D88" s="26">
        <f>SUM(D80:D86)</f>
        <v>9295392.5119726025</v>
      </c>
      <c r="F88" s="64">
        <f>SUM(F80:F86)</f>
        <v>8068140</v>
      </c>
    </row>
    <row r="89" spans="1:6" ht="17.25" thickBot="1">
      <c r="A89" s="41"/>
      <c r="B89" s="42"/>
      <c r="C89" s="43"/>
      <c r="D89" s="44"/>
      <c r="F89" s="37"/>
    </row>
    <row r="90" spans="1:6" ht="39" thickBot="1">
      <c r="A90" s="45" t="s">
        <v>11</v>
      </c>
      <c r="B90" s="46" t="s">
        <v>12</v>
      </c>
      <c r="C90" s="46" t="s">
        <v>13</v>
      </c>
      <c r="D90" s="47" t="s">
        <v>14</v>
      </c>
      <c r="F90" s="59" t="s">
        <v>77</v>
      </c>
    </row>
    <row r="91" spans="1:6" ht="15.75">
      <c r="A91" s="6" t="s">
        <v>57</v>
      </c>
      <c r="B91" s="7"/>
      <c r="C91" s="8"/>
      <c r="D91" s="9"/>
      <c r="F91" s="60"/>
    </row>
    <row r="92" spans="1:6" ht="15.75">
      <c r="A92" s="10">
        <f>A86-A120</f>
        <v>16136280</v>
      </c>
      <c r="B92" s="11">
        <v>5.8000000000000003E-2</v>
      </c>
      <c r="C92" s="12">
        <f>(A92*B92)/365*90</f>
        <v>230770.90849315067</v>
      </c>
      <c r="D92" s="13">
        <f>C92+A120</f>
        <v>2247805.9084931505</v>
      </c>
      <c r="F92" s="61">
        <f>$A$120</f>
        <v>2017035</v>
      </c>
    </row>
    <row r="93" spans="1:6" ht="15.75">
      <c r="A93" s="10" t="s">
        <v>58</v>
      </c>
      <c r="B93" s="11"/>
      <c r="C93" s="12"/>
      <c r="D93" s="13"/>
      <c r="F93" s="61"/>
    </row>
    <row r="94" spans="1:6" ht="15.75">
      <c r="A94" s="10">
        <f>A92-A120</f>
        <v>14119245</v>
      </c>
      <c r="B94" s="11">
        <v>5.8000000000000003E-2</v>
      </c>
      <c r="C94" s="12">
        <f>(A94*B94)/365*91</f>
        <v>204168.15098630139</v>
      </c>
      <c r="D94" s="13">
        <f>C94+A120</f>
        <v>2221203.1509863012</v>
      </c>
      <c r="F94" s="61">
        <f>$A$120</f>
        <v>2017035</v>
      </c>
    </row>
    <row r="95" spans="1:6" ht="15.75">
      <c r="A95" s="10" t="s">
        <v>59</v>
      </c>
      <c r="B95" s="11"/>
      <c r="C95" s="12"/>
      <c r="D95" s="13"/>
      <c r="F95" s="61"/>
    </row>
    <row r="96" spans="1:6" ht="15.75">
      <c r="A96" s="10">
        <f>A94-A120</f>
        <v>12102210</v>
      </c>
      <c r="B96" s="11">
        <v>5.8000000000000003E-2</v>
      </c>
      <c r="C96" s="12">
        <f>(A96*B96)/365*92</f>
        <v>176924.36317808222</v>
      </c>
      <c r="D96" s="13">
        <f>C96+A120</f>
        <v>2193959.3631780823</v>
      </c>
      <c r="F96" s="61">
        <f>$A$120</f>
        <v>2017035</v>
      </c>
    </row>
    <row r="97" spans="1:6" ht="15.75">
      <c r="A97" s="10" t="s">
        <v>60</v>
      </c>
      <c r="B97" s="11"/>
      <c r="C97" s="12"/>
      <c r="D97" s="13"/>
      <c r="F97" s="61"/>
    </row>
    <row r="98" spans="1:6" ht="16.5" thickBot="1">
      <c r="A98" s="10">
        <f>A96-A120</f>
        <v>10085175</v>
      </c>
      <c r="B98" s="11">
        <v>5.8000000000000003E-2</v>
      </c>
      <c r="C98" s="14">
        <f>(A98*B98)/365*92</f>
        <v>147436.96931506851</v>
      </c>
      <c r="D98" s="13">
        <f>C98+A120</f>
        <v>2164471.9693150683</v>
      </c>
      <c r="F98" s="61">
        <f>$A$120</f>
        <v>2017035</v>
      </c>
    </row>
    <row r="99" spans="1:6" ht="15.75">
      <c r="A99" s="15"/>
      <c r="B99" s="16" t="s">
        <v>19</v>
      </c>
      <c r="C99" s="17">
        <f>SUM(C92:C98)</f>
        <v>759300.39197260281</v>
      </c>
      <c r="D99" s="18"/>
      <c r="F99" s="62"/>
    </row>
    <row r="100" spans="1:6" ht="33.75" thickBot="1">
      <c r="A100" s="23"/>
      <c r="B100" s="24"/>
      <c r="C100" s="25" t="s">
        <v>61</v>
      </c>
      <c r="D100" s="26">
        <f>SUM(D92:D98)</f>
        <v>8827440.3919726033</v>
      </c>
      <c r="F100" s="64">
        <f>SUM(F92:F98)</f>
        <v>8068140</v>
      </c>
    </row>
    <row r="101" spans="1:6" ht="17.25" thickBot="1">
      <c r="A101" s="41"/>
      <c r="B101" s="42"/>
      <c r="C101" s="43"/>
      <c r="D101" s="44"/>
      <c r="F101" s="37"/>
    </row>
    <row r="102" spans="1:6" ht="39" thickBot="1">
      <c r="A102" s="45" t="s">
        <v>11</v>
      </c>
      <c r="B102" s="46" t="s">
        <v>12</v>
      </c>
      <c r="C102" s="46" t="s">
        <v>13</v>
      </c>
      <c r="D102" s="47" t="s">
        <v>14</v>
      </c>
      <c r="F102" s="59" t="s">
        <v>77</v>
      </c>
    </row>
    <row r="103" spans="1:6" ht="15.75">
      <c r="A103" s="6" t="s">
        <v>62</v>
      </c>
      <c r="B103" s="7"/>
      <c r="C103" s="8"/>
      <c r="D103" s="9"/>
      <c r="F103" s="60"/>
    </row>
    <row r="104" spans="1:6" ht="15.75">
      <c r="A104" s="10">
        <f>A98-A120</f>
        <v>8068140</v>
      </c>
      <c r="B104" s="11">
        <v>5.5E-2</v>
      </c>
      <c r="C104" s="12">
        <f>(A104*B104)/365*91</f>
        <v>110632.98821917808</v>
      </c>
      <c r="D104" s="13">
        <f>C104+A120</f>
        <v>2127667.9882191783</v>
      </c>
      <c r="F104" s="61">
        <f>$A$120</f>
        <v>2017035</v>
      </c>
    </row>
    <row r="105" spans="1:6" ht="15.75">
      <c r="A105" s="10" t="s">
        <v>63</v>
      </c>
      <c r="B105" s="11"/>
      <c r="C105" s="12"/>
      <c r="D105" s="13"/>
      <c r="F105" s="61"/>
    </row>
    <row r="106" spans="1:6" ht="15.75">
      <c r="A106" s="10">
        <f>A104-A120</f>
        <v>6051105</v>
      </c>
      <c r="B106" s="11">
        <v>5.5E-2</v>
      </c>
      <c r="C106" s="12">
        <f>(A106*B106)/365*91</f>
        <v>82974.741164383566</v>
      </c>
      <c r="D106" s="13">
        <f>C106+A120</f>
        <v>2100009.7411643835</v>
      </c>
      <c r="F106" s="61">
        <f>$A$120</f>
        <v>2017035</v>
      </c>
    </row>
    <row r="107" spans="1:6" ht="15.75">
      <c r="A107" s="10" t="s">
        <v>64</v>
      </c>
      <c r="B107" s="11"/>
      <c r="C107" s="12"/>
      <c r="D107" s="13"/>
      <c r="F107" s="61"/>
    </row>
    <row r="108" spans="1:6" ht="15.75">
      <c r="A108" s="10">
        <f>A106-A120</f>
        <v>4034070</v>
      </c>
      <c r="B108" s="11">
        <v>5.5E-2</v>
      </c>
      <c r="C108" s="12">
        <f>(A108*B108)/365*92</f>
        <v>55924.367671232874</v>
      </c>
      <c r="D108" s="13">
        <f>C108+A120</f>
        <v>2072959.3676712329</v>
      </c>
      <c r="F108" s="61">
        <f>$A$120</f>
        <v>2017035</v>
      </c>
    </row>
    <row r="109" spans="1:6" ht="15.75">
      <c r="A109" s="10" t="s">
        <v>65</v>
      </c>
      <c r="B109" s="11"/>
      <c r="C109" s="12"/>
      <c r="D109" s="13"/>
      <c r="F109" s="61"/>
    </row>
    <row r="110" spans="1:6" ht="16.5" thickBot="1">
      <c r="A110" s="10">
        <f>A108-A120</f>
        <v>2017035</v>
      </c>
      <c r="B110" s="11">
        <v>5.5E-2</v>
      </c>
      <c r="C110" s="14">
        <f>(A110*B110)/365*92</f>
        <v>27962.183835616437</v>
      </c>
      <c r="D110" s="13">
        <f>C110+A120</f>
        <v>2044997.1838356163</v>
      </c>
      <c r="F110" s="61">
        <f>$A$120</f>
        <v>2017035</v>
      </c>
    </row>
    <row r="111" spans="1:6" ht="15.75">
      <c r="A111" s="15"/>
      <c r="B111" s="16" t="s">
        <v>19</v>
      </c>
      <c r="C111" s="17">
        <f>SUM(C104:C110)</f>
        <v>277494.28089041094</v>
      </c>
      <c r="D111" s="18"/>
      <c r="F111" s="62"/>
    </row>
    <row r="112" spans="1:6" ht="33.75" thickBot="1">
      <c r="A112" s="23"/>
      <c r="B112" s="24"/>
      <c r="C112" s="25" t="s">
        <v>66</v>
      </c>
      <c r="D112" s="26">
        <f>SUM(D104:D110)</f>
        <v>8345634.2808904108</v>
      </c>
      <c r="F112" s="64">
        <f>SUM(F104:F110)</f>
        <v>8068140</v>
      </c>
    </row>
    <row r="113" spans="1:6" ht="16.5">
      <c r="A113" s="41"/>
      <c r="B113" s="42"/>
      <c r="C113" s="43"/>
      <c r="D113" s="44"/>
    </row>
    <row r="114" spans="1:6" ht="18">
      <c r="A114" s="428" t="s">
        <v>67</v>
      </c>
      <c r="B114" s="428"/>
      <c r="C114" s="428"/>
      <c r="D114" s="48">
        <f>SUM(D116:D118)</f>
        <v>81306891.521054789</v>
      </c>
      <c r="F114" s="375">
        <f>SUM(F16,F28,F40,F52,F64,F76,F88,F100,F112)</f>
        <v>64545126</v>
      </c>
    </row>
    <row r="115" spans="1:6" ht="16.5">
      <c r="A115" s="429" t="s">
        <v>68</v>
      </c>
      <c r="B115" s="429"/>
      <c r="C115" s="429"/>
      <c r="D115" s="49"/>
    </row>
    <row r="116" spans="1:6">
      <c r="A116" s="425" t="s">
        <v>69</v>
      </c>
      <c r="B116" s="425"/>
      <c r="C116" s="425"/>
      <c r="D116" s="50">
        <f>A120*31+A121</f>
        <v>64545126</v>
      </c>
    </row>
    <row r="117" spans="1:6">
      <c r="A117" s="425" t="s">
        <v>70</v>
      </c>
      <c r="B117" s="425"/>
      <c r="C117" s="425"/>
      <c r="D117" s="50">
        <f>SUM(C14,C27,C39,C51,C63,C75,C87,C99,C111)</f>
        <v>16503585.017054792</v>
      </c>
    </row>
    <row r="118" spans="1:6">
      <c r="A118" s="425" t="s">
        <v>71</v>
      </c>
      <c r="B118" s="425"/>
      <c r="C118" s="425"/>
      <c r="D118" s="50">
        <f>C15</f>
        <v>258180.50400000002</v>
      </c>
    </row>
    <row r="119" spans="1:6">
      <c r="A119" s="51" t="s">
        <v>72</v>
      </c>
      <c r="B119" s="52"/>
    </row>
    <row r="120" spans="1:6" ht="15.75">
      <c r="A120" s="373">
        <v>2017035</v>
      </c>
      <c r="B120" s="370" t="s">
        <v>144</v>
      </c>
    </row>
    <row r="121" spans="1:6" ht="15.75">
      <c r="A121" s="374">
        <f>A120+(0.1875*32)</f>
        <v>2017041</v>
      </c>
      <c r="B121" s="371" t="s">
        <v>145</v>
      </c>
      <c r="D121" s="29">
        <f>SUM(D117:D118)</f>
        <v>16761765.521054793</v>
      </c>
    </row>
    <row r="123" spans="1:6" ht="15.75">
      <c r="A123" t="s">
        <v>73</v>
      </c>
      <c r="B123" s="54">
        <v>3.8600000000000002E-2</v>
      </c>
    </row>
    <row r="124" spans="1:6">
      <c r="A124" s="52" t="s">
        <v>74</v>
      </c>
      <c r="B124" s="55">
        <v>1.6578999999999999</v>
      </c>
    </row>
    <row r="125" spans="1:6">
      <c r="A125" s="52" t="s">
        <v>75</v>
      </c>
    </row>
    <row r="126" spans="1:6">
      <c r="B126" s="264">
        <f>3.86*165.79%</f>
        <v>6.3994939999999998</v>
      </c>
    </row>
    <row r="128" spans="1:6">
      <c r="B128">
        <v>18500000</v>
      </c>
    </row>
  </sheetData>
  <mergeCells count="7">
    <mergeCell ref="A118:C118"/>
    <mergeCell ref="A2:F2"/>
    <mergeCell ref="A3:D3"/>
    <mergeCell ref="A114:C114"/>
    <mergeCell ref="A115:C115"/>
    <mergeCell ref="A116:C116"/>
    <mergeCell ref="A117:C117"/>
  </mergeCells>
  <pageMargins left="0.22" right="0.22" top="0.28000000000000003" bottom="0.41" header="0.2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3"/>
  </sheetPr>
  <dimension ref="A2:G126"/>
  <sheetViews>
    <sheetView zoomScale="80" zoomScaleNormal="80" workbookViewId="0">
      <selection activeCell="A122" sqref="A122"/>
    </sheetView>
  </sheetViews>
  <sheetFormatPr defaultRowHeight="14.25"/>
  <cols>
    <col min="1" max="1" width="20" customWidth="1"/>
    <col min="2" max="2" width="17.75" customWidth="1"/>
    <col min="3" max="4" width="15.625" customWidth="1"/>
    <col min="5" max="5" width="2" customWidth="1"/>
    <col min="6" max="6" width="19.125" customWidth="1"/>
  </cols>
  <sheetData>
    <row r="2" spans="1:7" ht="67.5" customHeight="1">
      <c r="A2" s="426" t="s">
        <v>155</v>
      </c>
      <c r="B2" s="426"/>
      <c r="C2" s="426"/>
      <c r="D2" s="426"/>
      <c r="E2" s="426"/>
      <c r="F2" s="426"/>
    </row>
    <row r="3" spans="1:7">
      <c r="A3" s="427"/>
      <c r="B3" s="427"/>
      <c r="C3" s="427"/>
      <c r="D3" s="427"/>
      <c r="F3" s="57" t="s">
        <v>76</v>
      </c>
      <c r="G3" s="58"/>
    </row>
    <row r="4" spans="1:7" ht="15" thickBot="1">
      <c r="D4" s="2" t="s">
        <v>10</v>
      </c>
    </row>
    <row r="5" spans="1:7" ht="39" thickBot="1">
      <c r="A5" s="3" t="s">
        <v>11</v>
      </c>
      <c r="B5" s="4" t="s">
        <v>12</v>
      </c>
      <c r="C5" s="4" t="s">
        <v>13</v>
      </c>
      <c r="D5" s="5" t="s">
        <v>14</v>
      </c>
      <c r="F5" s="59" t="s">
        <v>77</v>
      </c>
    </row>
    <row r="6" spans="1:7" ht="15.75">
      <c r="A6" s="6" t="s">
        <v>22</v>
      </c>
      <c r="B6" s="7"/>
      <c r="C6" s="8"/>
      <c r="D6" s="9"/>
      <c r="F6" s="60"/>
    </row>
    <row r="7" spans="1:7" ht="15.75">
      <c r="A7" s="10"/>
      <c r="B7" s="11">
        <v>0</v>
      </c>
      <c r="C7" s="12">
        <f>(A7*B7)/365*90</f>
        <v>0</v>
      </c>
      <c r="D7" s="13">
        <v>0</v>
      </c>
      <c r="F7" s="61">
        <v>0</v>
      </c>
    </row>
    <row r="8" spans="1:7" ht="15.75">
      <c r="A8" s="10" t="s">
        <v>23</v>
      </c>
      <c r="B8" s="11"/>
      <c r="C8" s="12"/>
      <c r="D8" s="13"/>
      <c r="F8" s="61"/>
    </row>
    <row r="9" spans="1:7" ht="15.75">
      <c r="A9" s="10"/>
      <c r="B9" s="11">
        <v>0</v>
      </c>
      <c r="C9" s="12">
        <f>(A9*B9)/365*90</f>
        <v>0</v>
      </c>
      <c r="D9" s="13">
        <v>0</v>
      </c>
      <c r="F9" s="61">
        <v>0</v>
      </c>
    </row>
    <row r="10" spans="1:7" ht="15.75">
      <c r="A10" s="10" t="s">
        <v>24</v>
      </c>
      <c r="B10" s="11"/>
      <c r="C10" s="12"/>
      <c r="D10" s="13"/>
      <c r="F10" s="61"/>
    </row>
    <row r="11" spans="1:7" ht="15.75">
      <c r="A11" s="10"/>
      <c r="B11" s="11">
        <v>0</v>
      </c>
      <c r="C11" s="12">
        <f>(A11*B11)/365*90</f>
        <v>0</v>
      </c>
      <c r="D11" s="13">
        <v>0</v>
      </c>
      <c r="F11" s="61">
        <v>0</v>
      </c>
    </row>
    <row r="12" spans="1:7" ht="15.75">
      <c r="A12" s="10" t="s">
        <v>25</v>
      </c>
      <c r="B12" s="11"/>
      <c r="C12" s="12"/>
      <c r="D12" s="13"/>
      <c r="F12" s="61"/>
    </row>
    <row r="13" spans="1:7" ht="16.5" thickBot="1">
      <c r="A13" s="10">
        <f>SUM('Zestawienie kredytów'!F38:F42)</f>
        <v>64858900</v>
      </c>
      <c r="B13" s="11">
        <v>0</v>
      </c>
      <c r="C13" s="14">
        <f>(A13*B13)/365*90</f>
        <v>0</v>
      </c>
      <c r="D13" s="13">
        <f>C13</f>
        <v>0</v>
      </c>
      <c r="F13" s="61">
        <f>E13</f>
        <v>0</v>
      </c>
    </row>
    <row r="14" spans="1:7" ht="15.75">
      <c r="A14" s="15"/>
      <c r="B14" s="16" t="s">
        <v>19</v>
      </c>
      <c r="C14" s="17">
        <f>SUM(C7:C13)</f>
        <v>0</v>
      </c>
      <c r="D14" s="18"/>
      <c r="F14" s="62"/>
    </row>
    <row r="15" spans="1:7" ht="15.75">
      <c r="A15" s="19"/>
      <c r="B15" s="20" t="s">
        <v>20</v>
      </c>
      <c r="C15" s="21">
        <f>0.4%*A13</f>
        <v>259435.6</v>
      </c>
      <c r="D15" s="22"/>
      <c r="F15" s="63"/>
    </row>
    <row r="16" spans="1:7" ht="33" customHeight="1" thickBot="1">
      <c r="A16" s="23"/>
      <c r="B16" s="24"/>
      <c r="C16" s="25" t="s">
        <v>26</v>
      </c>
      <c r="D16" s="26">
        <f>SUM(D7:D13)+C15</f>
        <v>259435.6</v>
      </c>
      <c r="F16" s="64">
        <f>SUM(F7:F13)+E15</f>
        <v>0</v>
      </c>
    </row>
    <row r="17" spans="1:6" ht="15" thickBot="1">
      <c r="A17" s="27"/>
      <c r="B17" s="27"/>
      <c r="C17" s="27"/>
      <c r="D17" s="27"/>
      <c r="F17" s="67"/>
    </row>
    <row r="18" spans="1:6" ht="39" thickBot="1">
      <c r="A18" s="3" t="s">
        <v>11</v>
      </c>
      <c r="B18" s="4" t="s">
        <v>12</v>
      </c>
      <c r="C18" s="4" t="s">
        <v>13</v>
      </c>
      <c r="D18" s="5" t="s">
        <v>14</v>
      </c>
      <c r="F18" s="59" t="s">
        <v>77</v>
      </c>
    </row>
    <row r="19" spans="1:6" ht="15.75">
      <c r="A19" s="6" t="s">
        <v>27</v>
      </c>
      <c r="B19" s="7"/>
      <c r="C19" s="8"/>
      <c r="D19" s="9"/>
      <c r="F19" s="60"/>
    </row>
    <row r="20" spans="1:6" ht="15.75">
      <c r="A20" s="10">
        <f>A13</f>
        <v>64858900</v>
      </c>
      <c r="B20" s="11">
        <v>5.8999999999999997E-2</v>
      </c>
      <c r="C20" s="12">
        <f>(A20*B20)/365*180</f>
        <v>1887127.4465753422</v>
      </c>
      <c r="D20" s="13">
        <f>C20+A121</f>
        <v>3913987.4465753422</v>
      </c>
      <c r="F20" s="61">
        <f>$A$121</f>
        <v>2026860</v>
      </c>
    </row>
    <row r="21" spans="1:6" ht="15.75">
      <c r="A21" s="10" t="s">
        <v>28</v>
      </c>
      <c r="B21" s="11"/>
      <c r="C21" s="12"/>
      <c r="D21" s="13"/>
      <c r="F21" s="61"/>
    </row>
    <row r="22" spans="1:6" ht="15.75">
      <c r="A22" s="10">
        <f>A20-A121</f>
        <v>62832040</v>
      </c>
      <c r="B22" s="11">
        <v>5.8999999999999997E-2</v>
      </c>
      <c r="C22" s="12">
        <f>(A22*B22)/365*91</f>
        <v>924233.48701369856</v>
      </c>
      <c r="D22" s="13">
        <f>C22+A120</f>
        <v>2951073.4870136986</v>
      </c>
      <c r="F22" s="61">
        <f>$A$120</f>
        <v>2026840</v>
      </c>
    </row>
    <row r="23" spans="1:6" ht="15.75">
      <c r="A23" s="10" t="s">
        <v>29</v>
      </c>
      <c r="B23" s="11"/>
      <c r="C23" s="12"/>
      <c r="D23" s="13"/>
      <c r="F23" s="61"/>
    </row>
    <row r="24" spans="1:6" ht="15.75">
      <c r="A24" s="10">
        <f>A22-A120</f>
        <v>60805200</v>
      </c>
      <c r="B24" s="11">
        <v>5.5E-2</v>
      </c>
      <c r="C24" s="12">
        <f>(A24*B24)/365*92</f>
        <v>842943.3205479451</v>
      </c>
      <c r="D24" s="13">
        <f>C24+A120</f>
        <v>2869783.3205479449</v>
      </c>
      <c r="F24" s="61">
        <f>$A$120</f>
        <v>2026840</v>
      </c>
    </row>
    <row r="25" spans="1:6" ht="15.75">
      <c r="A25" s="10" t="s">
        <v>30</v>
      </c>
      <c r="B25" s="11"/>
      <c r="C25" s="12"/>
      <c r="D25" s="13"/>
      <c r="F25" s="61"/>
    </row>
    <row r="26" spans="1:6" ht="16.5" thickBot="1">
      <c r="A26" s="10">
        <f>A24-A120</f>
        <v>58778360</v>
      </c>
      <c r="B26" s="11">
        <v>5.5E-2</v>
      </c>
      <c r="C26" s="14">
        <f>(A26*B26)/365*92</f>
        <v>814845.20986301359</v>
      </c>
      <c r="D26" s="13">
        <f>C26+A120</f>
        <v>2841685.2098630136</v>
      </c>
      <c r="F26" s="61">
        <f>$A$120</f>
        <v>2026840</v>
      </c>
    </row>
    <row r="27" spans="1:6" ht="15.75">
      <c r="A27" s="15"/>
      <c r="B27" s="16" t="s">
        <v>19</v>
      </c>
      <c r="C27" s="17">
        <f>SUM(C20:C26)</f>
        <v>4469149.4639999997</v>
      </c>
      <c r="D27" s="18"/>
      <c r="F27" s="62"/>
    </row>
    <row r="28" spans="1:6" ht="33.75" thickBot="1">
      <c r="A28" s="30"/>
      <c r="B28" s="31"/>
      <c r="C28" s="32" t="s">
        <v>31</v>
      </c>
      <c r="D28" s="33">
        <f>SUM(D20:D26)</f>
        <v>12576529.464000002</v>
      </c>
      <c r="F28" s="66">
        <f>SUM(F20:F26)</f>
        <v>8107380</v>
      </c>
    </row>
    <row r="29" spans="1:6" ht="17.25" thickBot="1">
      <c r="A29" s="34"/>
      <c r="B29" s="35"/>
      <c r="C29" s="36"/>
      <c r="D29" s="37"/>
      <c r="F29" s="37"/>
    </row>
    <row r="30" spans="1:6" ht="39" thickBot="1">
      <c r="A30" s="38" t="s">
        <v>11</v>
      </c>
      <c r="B30" s="39" t="s">
        <v>12</v>
      </c>
      <c r="C30" s="39" t="s">
        <v>13</v>
      </c>
      <c r="D30" s="40" t="s">
        <v>14</v>
      </c>
      <c r="F30" s="59" t="s">
        <v>77</v>
      </c>
    </row>
    <row r="31" spans="1:6" ht="15.75">
      <c r="A31" s="6" t="s">
        <v>32</v>
      </c>
      <c r="B31" s="7"/>
      <c r="C31" s="8"/>
      <c r="D31" s="9"/>
      <c r="F31" s="60"/>
    </row>
    <row r="32" spans="1:6" ht="15.75">
      <c r="A32" s="10">
        <f>A26-A120</f>
        <v>56751520</v>
      </c>
      <c r="B32" s="11">
        <v>5.5E-2</v>
      </c>
      <c r="C32" s="12">
        <f>(A32*B32)/365*90</f>
        <v>769643.90136986296</v>
      </c>
      <c r="D32" s="13">
        <f>C32+A120</f>
        <v>2796483.9013698632</v>
      </c>
      <c r="F32" s="61">
        <f>$A$120</f>
        <v>2026840</v>
      </c>
    </row>
    <row r="33" spans="1:6" ht="15.75">
      <c r="A33" s="10" t="s">
        <v>33</v>
      </c>
      <c r="B33" s="11"/>
      <c r="C33" s="12"/>
      <c r="D33" s="13"/>
      <c r="F33" s="61"/>
    </row>
    <row r="34" spans="1:6" ht="15.75">
      <c r="A34" s="10">
        <f>A32-A120</f>
        <v>54724680</v>
      </c>
      <c r="B34" s="11">
        <v>5.5E-2</v>
      </c>
      <c r="C34" s="12">
        <f>(A34*B34)/365*91</f>
        <v>750402.80383561645</v>
      </c>
      <c r="D34" s="13">
        <f>C34+A120</f>
        <v>2777242.8038356164</v>
      </c>
      <c r="F34" s="61">
        <f>$A$120</f>
        <v>2026840</v>
      </c>
    </row>
    <row r="35" spans="1:6" ht="15.75">
      <c r="A35" s="10" t="s">
        <v>34</v>
      </c>
      <c r="B35" s="11"/>
      <c r="C35" s="12"/>
      <c r="D35" s="13"/>
      <c r="F35" s="61"/>
    </row>
    <row r="36" spans="1:6" ht="15.75">
      <c r="A36" s="10">
        <f>A34-A120</f>
        <v>52697840</v>
      </c>
      <c r="B36" s="11">
        <v>5.5E-2</v>
      </c>
      <c r="C36" s="12">
        <f>(A36*B36)/365*92</f>
        <v>730550.87780821929</v>
      </c>
      <c r="D36" s="13">
        <f>C36+A120</f>
        <v>2757390.8778082193</v>
      </c>
      <c r="F36" s="61">
        <f>$A$120</f>
        <v>2026840</v>
      </c>
    </row>
    <row r="37" spans="1:6" ht="15.75">
      <c r="A37" s="10" t="s">
        <v>35</v>
      </c>
      <c r="B37" s="11"/>
      <c r="C37" s="12"/>
      <c r="D37" s="13"/>
      <c r="F37" s="61"/>
    </row>
    <row r="38" spans="1:6" ht="16.5" thickBot="1">
      <c r="A38" s="10">
        <f>A36-A120</f>
        <v>50671000</v>
      </c>
      <c r="B38" s="11">
        <v>5.5E-2</v>
      </c>
      <c r="C38" s="14">
        <f>(A38*B38)/365*92</f>
        <v>702452.76712328766</v>
      </c>
      <c r="D38" s="13">
        <f>C38+A120</f>
        <v>2729292.7671232875</v>
      </c>
      <c r="F38" s="61">
        <f>$A$120</f>
        <v>2026840</v>
      </c>
    </row>
    <row r="39" spans="1:6" ht="15.75">
      <c r="A39" s="15"/>
      <c r="B39" s="16" t="s">
        <v>19</v>
      </c>
      <c r="C39" s="17">
        <f>SUM(C32:C38)</f>
        <v>2953050.350136986</v>
      </c>
      <c r="D39" s="18"/>
      <c r="F39" s="62"/>
    </row>
    <row r="40" spans="1:6" ht="33.75" thickBot="1">
      <c r="A40" s="23"/>
      <c r="B40" s="24"/>
      <c r="C40" s="25" t="s">
        <v>36</v>
      </c>
      <c r="D40" s="26">
        <f>SUM(D32:D38)</f>
        <v>11060410.350136986</v>
      </c>
      <c r="F40" s="64">
        <f>SUM(F32:F38)</f>
        <v>8107360</v>
      </c>
    </row>
    <row r="41" spans="1:6" ht="17.25" thickBot="1">
      <c r="A41" s="41"/>
      <c r="B41" s="42"/>
      <c r="C41" s="43"/>
      <c r="D41" s="44"/>
      <c r="F41" s="37"/>
    </row>
    <row r="42" spans="1:6" ht="39" thickBot="1">
      <c r="A42" s="45" t="s">
        <v>11</v>
      </c>
      <c r="B42" s="46" t="s">
        <v>12</v>
      </c>
      <c r="C42" s="46" t="s">
        <v>13</v>
      </c>
      <c r="D42" s="47" t="s">
        <v>14</v>
      </c>
      <c r="F42" s="59" t="s">
        <v>77</v>
      </c>
    </row>
    <row r="43" spans="1:6" ht="15.75">
      <c r="A43" s="6" t="s">
        <v>37</v>
      </c>
      <c r="B43" s="7"/>
      <c r="C43" s="8"/>
      <c r="D43" s="9"/>
      <c r="F43" s="60"/>
    </row>
    <row r="44" spans="1:6" ht="15.75">
      <c r="A44" s="10">
        <f>A38-A120</f>
        <v>48644160</v>
      </c>
      <c r="B44" s="11">
        <v>5.5E-2</v>
      </c>
      <c r="C44" s="12">
        <f>(A44*B44)/365*90</f>
        <v>659694.77260273974</v>
      </c>
      <c r="D44" s="13">
        <f>C44+A120</f>
        <v>2686534.7726027397</v>
      </c>
      <c r="F44" s="61">
        <f>$A$120</f>
        <v>2026840</v>
      </c>
    </row>
    <row r="45" spans="1:6" ht="15.75">
      <c r="A45" s="10" t="s">
        <v>38</v>
      </c>
      <c r="B45" s="11"/>
      <c r="C45" s="12"/>
      <c r="D45" s="13"/>
      <c r="F45" s="61"/>
    </row>
    <row r="46" spans="1:6" ht="15.75">
      <c r="A46" s="10">
        <f>A44-A120</f>
        <v>46617320</v>
      </c>
      <c r="B46" s="11">
        <v>5.5E-2</v>
      </c>
      <c r="C46" s="12">
        <f>(A46*B46)/365*91</f>
        <v>639232.01808219182</v>
      </c>
      <c r="D46" s="13">
        <f>C46+A120</f>
        <v>2666072.0180821917</v>
      </c>
      <c r="F46" s="61">
        <f>$A$120</f>
        <v>2026840</v>
      </c>
    </row>
    <row r="47" spans="1:6" ht="15.75">
      <c r="A47" s="10" t="s">
        <v>39</v>
      </c>
      <c r="B47" s="11"/>
      <c r="C47" s="12"/>
      <c r="D47" s="13"/>
      <c r="F47" s="61"/>
    </row>
    <row r="48" spans="1:6" ht="15.75">
      <c r="A48" s="10">
        <f>A46-A120</f>
        <v>44590480</v>
      </c>
      <c r="B48" s="11">
        <v>5.2999999999999999E-2</v>
      </c>
      <c r="C48" s="12">
        <f>(A48*B48)/365*92</f>
        <v>595679.94652054796</v>
      </c>
      <c r="D48" s="13">
        <f>C48+A120</f>
        <v>2622519.9465205478</v>
      </c>
      <c r="F48" s="61">
        <f>$A$120</f>
        <v>2026840</v>
      </c>
    </row>
    <row r="49" spans="1:6" ht="15.75">
      <c r="A49" s="10" t="s">
        <v>40</v>
      </c>
      <c r="B49" s="11"/>
      <c r="C49" s="12"/>
      <c r="D49" s="13"/>
      <c r="F49" s="61"/>
    </row>
    <row r="50" spans="1:6" ht="16.5" thickBot="1">
      <c r="A50" s="10">
        <f>A48-A120</f>
        <v>42563640</v>
      </c>
      <c r="B50" s="11">
        <v>5.2999999999999999E-2</v>
      </c>
      <c r="C50" s="14">
        <f>(A50*B50)/365*92</f>
        <v>568603.58531506849</v>
      </c>
      <c r="D50" s="13">
        <f>C50+A120</f>
        <v>2595443.5853150683</v>
      </c>
      <c r="F50" s="61">
        <f>$A$120</f>
        <v>2026840</v>
      </c>
    </row>
    <row r="51" spans="1:6" ht="15.75">
      <c r="A51" s="15"/>
      <c r="B51" s="16" t="s">
        <v>19</v>
      </c>
      <c r="C51" s="17">
        <f>SUM(C44:C50)</f>
        <v>2463210.3225205475</v>
      </c>
      <c r="D51" s="18"/>
      <c r="F51" s="62"/>
    </row>
    <row r="52" spans="1:6" ht="33.75" thickBot="1">
      <c r="A52" s="23"/>
      <c r="B52" s="24"/>
      <c r="C52" s="25" t="s">
        <v>41</v>
      </c>
      <c r="D52" s="26">
        <f>SUM(D44:D50)</f>
        <v>10570570.322520547</v>
      </c>
      <c r="F52" s="64">
        <f>SUM(F44:F50)</f>
        <v>8107360</v>
      </c>
    </row>
    <row r="53" spans="1:6" ht="17.25" thickBot="1">
      <c r="A53" s="41"/>
      <c r="B53" s="42"/>
      <c r="C53" s="43"/>
      <c r="D53" s="44"/>
      <c r="F53" s="37"/>
    </row>
    <row r="54" spans="1:6" ht="39" thickBot="1">
      <c r="A54" s="45" t="s">
        <v>11</v>
      </c>
      <c r="B54" s="46" t="s">
        <v>12</v>
      </c>
      <c r="C54" s="46" t="s">
        <v>13</v>
      </c>
      <c r="D54" s="47" t="s">
        <v>14</v>
      </c>
      <c r="F54" s="59" t="s">
        <v>77</v>
      </c>
    </row>
    <row r="55" spans="1:6" ht="15.75">
      <c r="A55" s="6" t="s">
        <v>42</v>
      </c>
      <c r="B55" s="7"/>
      <c r="C55" s="8"/>
      <c r="D55" s="9"/>
      <c r="F55" s="60"/>
    </row>
    <row r="56" spans="1:6" ht="15.75">
      <c r="A56" s="10">
        <f>A50-A120</f>
        <v>40536800</v>
      </c>
      <c r="B56" s="11">
        <v>5.2999999999999999E-2</v>
      </c>
      <c r="C56" s="12">
        <f>(A56*B56)/365*91</f>
        <v>535641.05863013701</v>
      </c>
      <c r="D56" s="13">
        <f>C56+A120</f>
        <v>2562481.0586301368</v>
      </c>
      <c r="F56" s="61">
        <f>$A$120</f>
        <v>2026840</v>
      </c>
    </row>
    <row r="57" spans="1:6" ht="15.75">
      <c r="A57" s="10" t="s">
        <v>43</v>
      </c>
      <c r="B57" s="11"/>
      <c r="C57" s="12"/>
      <c r="D57" s="13"/>
      <c r="F57" s="61"/>
    </row>
    <row r="58" spans="1:6" ht="15.75">
      <c r="A58" s="10">
        <f>A56-A120</f>
        <v>38509960</v>
      </c>
      <c r="B58" s="11">
        <v>5.2999999999999999E-2</v>
      </c>
      <c r="C58" s="12">
        <f>(A58*B58)/365*91</f>
        <v>508859.00569863006</v>
      </c>
      <c r="D58" s="13">
        <f>C58+A120</f>
        <v>2535699.0056986301</v>
      </c>
      <c r="F58" s="61">
        <f>$A$120</f>
        <v>2026840</v>
      </c>
    </row>
    <row r="59" spans="1:6" ht="15.75">
      <c r="A59" s="10" t="s">
        <v>44</v>
      </c>
      <c r="B59" s="11"/>
      <c r="C59" s="12"/>
      <c r="D59" s="13"/>
      <c r="F59" s="61"/>
    </row>
    <row r="60" spans="1:6" ht="15.75">
      <c r="A60" s="10">
        <f>A58-A120</f>
        <v>36483120</v>
      </c>
      <c r="B60" s="11">
        <v>5.2999999999999999E-2</v>
      </c>
      <c r="C60" s="12">
        <f>(A60*B60)/365*92</f>
        <v>487374.50169863011</v>
      </c>
      <c r="D60" s="13">
        <f>C60+A120</f>
        <v>2514214.5016986299</v>
      </c>
      <c r="F60" s="61">
        <f>$A$120</f>
        <v>2026840</v>
      </c>
    </row>
    <row r="61" spans="1:6" ht="15.75">
      <c r="A61" s="10" t="s">
        <v>45</v>
      </c>
      <c r="B61" s="11"/>
      <c r="C61" s="12"/>
      <c r="D61" s="13"/>
      <c r="F61" s="61"/>
    </row>
    <row r="62" spans="1:6" ht="16.5" thickBot="1">
      <c r="A62" s="10">
        <f>A60-A120</f>
        <v>34456280</v>
      </c>
      <c r="B62" s="11">
        <v>5.2999999999999999E-2</v>
      </c>
      <c r="C62" s="14">
        <f>(A62*B62)/365*92</f>
        <v>460298.14049315068</v>
      </c>
      <c r="D62" s="13">
        <f>C62+A120</f>
        <v>2487138.1404931508</v>
      </c>
      <c r="F62" s="61">
        <f>$A$120</f>
        <v>2026840</v>
      </c>
    </row>
    <row r="63" spans="1:6" ht="15.75">
      <c r="A63" s="15"/>
      <c r="B63" s="16" t="s">
        <v>19</v>
      </c>
      <c r="C63" s="17">
        <f>SUM(C56:C62)</f>
        <v>1992172.7065205481</v>
      </c>
      <c r="D63" s="18"/>
      <c r="F63" s="62"/>
    </row>
    <row r="64" spans="1:6" ht="33.75" thickBot="1">
      <c r="A64" s="23"/>
      <c r="B64" s="24"/>
      <c r="C64" s="25" t="s">
        <v>46</v>
      </c>
      <c r="D64" s="26">
        <f>SUM(D56:D62)</f>
        <v>10099532.706520548</v>
      </c>
      <c r="F64" s="64">
        <f>SUM(F56:F62)</f>
        <v>8107360</v>
      </c>
    </row>
    <row r="65" spans="1:6" ht="17.25" thickBot="1">
      <c r="A65" s="41"/>
      <c r="B65" s="42"/>
      <c r="C65" s="43"/>
      <c r="D65" s="44"/>
      <c r="F65" s="37"/>
    </row>
    <row r="66" spans="1:6" ht="39" thickBot="1">
      <c r="A66" s="45" t="s">
        <v>11</v>
      </c>
      <c r="B66" s="46" t="s">
        <v>12</v>
      </c>
      <c r="C66" s="46" t="s">
        <v>13</v>
      </c>
      <c r="D66" s="47" t="s">
        <v>14</v>
      </c>
      <c r="F66" s="59" t="s">
        <v>77</v>
      </c>
    </row>
    <row r="67" spans="1:6" ht="15.75">
      <c r="A67" s="6" t="s">
        <v>47</v>
      </c>
      <c r="B67" s="7"/>
      <c r="C67" s="8"/>
      <c r="D67" s="9"/>
      <c r="F67" s="60"/>
    </row>
    <row r="68" spans="1:6" ht="15.75">
      <c r="A68" s="10">
        <f>A62-A120</f>
        <v>32429440</v>
      </c>
      <c r="B68" s="11">
        <v>5.6000000000000001E-2</v>
      </c>
      <c r="C68" s="12">
        <f>(A68*B68)/365*90</f>
        <v>447792.81534246576</v>
      </c>
      <c r="D68" s="13">
        <f>C68+A120</f>
        <v>2474632.8153424659</v>
      </c>
      <c r="F68" s="61">
        <f>$A$120</f>
        <v>2026840</v>
      </c>
    </row>
    <row r="69" spans="1:6" ht="15.75">
      <c r="A69" s="10" t="s">
        <v>48</v>
      </c>
      <c r="B69" s="11"/>
      <c r="C69" s="12"/>
      <c r="D69" s="13"/>
      <c r="F69" s="61"/>
    </row>
    <row r="70" spans="1:6" ht="15.75">
      <c r="A70" s="10">
        <f>A68-A120</f>
        <v>30402600</v>
      </c>
      <c r="B70" s="11">
        <v>5.6000000000000001E-2</v>
      </c>
      <c r="C70" s="12">
        <f>(A70*B70)/365*91</f>
        <v>424470.27287671238</v>
      </c>
      <c r="D70" s="13">
        <f>C70+A120</f>
        <v>2451310.2728767125</v>
      </c>
      <c r="F70" s="61">
        <f>$A$120</f>
        <v>2026840</v>
      </c>
    </row>
    <row r="71" spans="1:6" ht="15.75">
      <c r="A71" s="10" t="s">
        <v>49</v>
      </c>
      <c r="B71" s="11"/>
      <c r="C71" s="12"/>
      <c r="D71" s="13"/>
      <c r="F71" s="61"/>
    </row>
    <row r="72" spans="1:6" ht="15.75">
      <c r="A72" s="10">
        <f>A70-A120</f>
        <v>28375760</v>
      </c>
      <c r="B72" s="11">
        <v>5.5E-2</v>
      </c>
      <c r="C72" s="12">
        <f>(A72*B72)/365*92</f>
        <v>393373.5495890411</v>
      </c>
      <c r="D72" s="13">
        <f>C72+A120</f>
        <v>2420213.5495890412</v>
      </c>
      <c r="F72" s="61">
        <f>$A$120</f>
        <v>2026840</v>
      </c>
    </row>
    <row r="73" spans="1:6" ht="15.75">
      <c r="A73" s="10" t="s">
        <v>50</v>
      </c>
      <c r="B73" s="11"/>
      <c r="C73" s="12"/>
      <c r="D73" s="13"/>
      <c r="F73" s="61"/>
    </row>
    <row r="74" spans="1:6" ht="16.5" thickBot="1">
      <c r="A74" s="10">
        <f>A72-A120</f>
        <v>26348920</v>
      </c>
      <c r="B74" s="11">
        <v>5.5E-2</v>
      </c>
      <c r="C74" s="14">
        <f>(A74*B74)/365*92</f>
        <v>365275.43890410964</v>
      </c>
      <c r="D74" s="13">
        <f>C74+A120</f>
        <v>2392115.4389041094</v>
      </c>
      <c r="F74" s="61">
        <f>$A$120</f>
        <v>2026840</v>
      </c>
    </row>
    <row r="75" spans="1:6" ht="15.75">
      <c r="A75" s="15"/>
      <c r="B75" s="16" t="s">
        <v>19</v>
      </c>
      <c r="C75" s="17">
        <f>SUM(C68:C74)</f>
        <v>1630912.0767123289</v>
      </c>
      <c r="D75" s="18"/>
      <c r="F75" s="62"/>
    </row>
    <row r="76" spans="1:6" ht="33.75" thickBot="1">
      <c r="A76" s="23"/>
      <c r="B76" s="24"/>
      <c r="C76" s="25" t="s">
        <v>51</v>
      </c>
      <c r="D76" s="26">
        <f>SUM(D68:D74)</f>
        <v>9738272.0767123289</v>
      </c>
      <c r="F76" s="64">
        <f>SUM(F68:F74)</f>
        <v>8107360</v>
      </c>
    </row>
    <row r="77" spans="1:6" ht="17.25" thickBot="1">
      <c r="A77" s="41"/>
      <c r="B77" s="42"/>
      <c r="C77" s="43"/>
      <c r="D77" s="44"/>
      <c r="F77" s="37"/>
    </row>
    <row r="78" spans="1:6" ht="39" thickBot="1">
      <c r="A78" s="45" t="s">
        <v>11</v>
      </c>
      <c r="B78" s="46" t="s">
        <v>12</v>
      </c>
      <c r="C78" s="46" t="s">
        <v>13</v>
      </c>
      <c r="D78" s="47" t="s">
        <v>14</v>
      </c>
      <c r="F78" s="59" t="s">
        <v>77</v>
      </c>
    </row>
    <row r="79" spans="1:6" ht="15.75">
      <c r="A79" s="6" t="s">
        <v>52</v>
      </c>
      <c r="B79" s="7"/>
      <c r="C79" s="8"/>
      <c r="D79" s="9"/>
      <c r="F79" s="60"/>
    </row>
    <row r="80" spans="1:6" ht="15.75">
      <c r="A80" s="10">
        <f>A74-A120</f>
        <v>24322080</v>
      </c>
      <c r="B80" s="11">
        <v>5.2999999999999999E-2</v>
      </c>
      <c r="C80" s="12">
        <f>(A80*B80)/365*90</f>
        <v>317852.93589041097</v>
      </c>
      <c r="D80" s="13">
        <f>C80+A120</f>
        <v>2344692.935890411</v>
      </c>
      <c r="F80" s="61">
        <f>$A$120</f>
        <v>2026840</v>
      </c>
    </row>
    <row r="81" spans="1:6" ht="15.75">
      <c r="A81" s="10" t="s">
        <v>53</v>
      </c>
      <c r="B81" s="11"/>
      <c r="C81" s="12"/>
      <c r="D81" s="13"/>
      <c r="F81" s="61"/>
    </row>
    <row r="82" spans="1:6" ht="15.75">
      <c r="A82" s="10">
        <f>A80-A120</f>
        <v>22295240</v>
      </c>
      <c r="B82" s="11">
        <v>5.2999999999999999E-2</v>
      </c>
      <c r="C82" s="12">
        <f>(A82*B82)/365*91</f>
        <v>294602.58224657533</v>
      </c>
      <c r="D82" s="13">
        <f>C82+A120</f>
        <v>2321442.5822465755</v>
      </c>
      <c r="F82" s="61">
        <f>$A$120</f>
        <v>2026840</v>
      </c>
    </row>
    <row r="83" spans="1:6" ht="15.75">
      <c r="A83" s="10" t="s">
        <v>54</v>
      </c>
      <c r="B83" s="11"/>
      <c r="C83" s="12"/>
      <c r="D83" s="13"/>
      <c r="F83" s="61"/>
    </row>
    <row r="84" spans="1:6" ht="15.75">
      <c r="A84" s="10">
        <f>A82-A120</f>
        <v>20268400</v>
      </c>
      <c r="B84" s="11">
        <v>5.2999999999999999E-2</v>
      </c>
      <c r="C84" s="12">
        <f>(A84*B84)/365*92</f>
        <v>270763.6120547945</v>
      </c>
      <c r="D84" s="13">
        <f>C84+A120</f>
        <v>2297603.6120547946</v>
      </c>
      <c r="F84" s="61">
        <f>$A$120</f>
        <v>2026840</v>
      </c>
    </row>
    <row r="85" spans="1:6" ht="15.75">
      <c r="A85" s="10" t="s">
        <v>55</v>
      </c>
      <c r="B85" s="11"/>
      <c r="C85" s="12"/>
      <c r="D85" s="13"/>
      <c r="F85" s="61"/>
    </row>
    <row r="86" spans="1:6" ht="16.5" thickBot="1">
      <c r="A86" s="10">
        <f>A84-A120</f>
        <v>18241560</v>
      </c>
      <c r="B86" s="11">
        <v>5.2999999999999999E-2</v>
      </c>
      <c r="C86" s="14">
        <f>(A86*B86)/365*92</f>
        <v>243687.25084931505</v>
      </c>
      <c r="D86" s="13">
        <f>C86+A120</f>
        <v>2270527.250849315</v>
      </c>
      <c r="F86" s="61">
        <f>$A$120</f>
        <v>2026840</v>
      </c>
    </row>
    <row r="87" spans="1:6" ht="15.75">
      <c r="A87" s="15"/>
      <c r="B87" s="16" t="s">
        <v>19</v>
      </c>
      <c r="C87" s="17">
        <f>SUM(C80:C86)</f>
        <v>1126906.3810410958</v>
      </c>
      <c r="D87" s="18"/>
      <c r="F87" s="62"/>
    </row>
    <row r="88" spans="1:6" ht="33.75" thickBot="1">
      <c r="A88" s="23"/>
      <c r="B88" s="24"/>
      <c r="C88" s="25" t="s">
        <v>56</v>
      </c>
      <c r="D88" s="26">
        <f>SUM(D80:D86)</f>
        <v>9234266.3810410947</v>
      </c>
      <c r="F88" s="64">
        <f>SUM(F80:F86)</f>
        <v>8107360</v>
      </c>
    </row>
    <row r="89" spans="1:6" ht="17.25" thickBot="1">
      <c r="A89" s="41"/>
      <c r="B89" s="42"/>
      <c r="C89" s="43"/>
      <c r="D89" s="44"/>
      <c r="F89" s="37"/>
    </row>
    <row r="90" spans="1:6" ht="39" thickBot="1">
      <c r="A90" s="45" t="s">
        <v>11</v>
      </c>
      <c r="B90" s="46" t="s">
        <v>12</v>
      </c>
      <c r="C90" s="46" t="s">
        <v>13</v>
      </c>
      <c r="D90" s="47" t="s">
        <v>14</v>
      </c>
      <c r="F90" s="59" t="s">
        <v>77</v>
      </c>
    </row>
    <row r="91" spans="1:6" ht="15.75">
      <c r="A91" s="6" t="s">
        <v>57</v>
      </c>
      <c r="B91" s="7"/>
      <c r="C91" s="8"/>
      <c r="D91" s="9"/>
      <c r="F91" s="60"/>
    </row>
    <row r="92" spans="1:6" ht="15.75">
      <c r="A92" s="10">
        <f>A86-A120</f>
        <v>16214720</v>
      </c>
      <c r="B92" s="11">
        <v>0.05</v>
      </c>
      <c r="C92" s="12">
        <f>(A92*B92)/365*90</f>
        <v>199907.50684931505</v>
      </c>
      <c r="D92" s="13">
        <f>C92+A120</f>
        <v>2226747.506849315</v>
      </c>
      <c r="F92" s="61">
        <f>$A$120</f>
        <v>2026840</v>
      </c>
    </row>
    <row r="93" spans="1:6" ht="15.75">
      <c r="A93" s="10" t="s">
        <v>58</v>
      </c>
      <c r="B93" s="11"/>
      <c r="C93" s="12"/>
      <c r="D93" s="13"/>
      <c r="F93" s="61"/>
    </row>
    <row r="94" spans="1:6" ht="15.75">
      <c r="A94" s="10">
        <f>A92-A120</f>
        <v>14187880</v>
      </c>
      <c r="B94" s="11">
        <v>0.05</v>
      </c>
      <c r="C94" s="12">
        <f>(A94*B94)/365*91</f>
        <v>176862.61369863013</v>
      </c>
      <c r="D94" s="13">
        <f>C94+A120</f>
        <v>2203702.6136986301</v>
      </c>
      <c r="F94" s="61">
        <f>$A$120</f>
        <v>2026840</v>
      </c>
    </row>
    <row r="95" spans="1:6" ht="15.75">
      <c r="A95" s="10" t="s">
        <v>59</v>
      </c>
      <c r="B95" s="11"/>
      <c r="C95" s="12"/>
      <c r="D95" s="13"/>
      <c r="F95" s="61"/>
    </row>
    <row r="96" spans="1:6" ht="15.75">
      <c r="A96" s="10">
        <f>A94-A120</f>
        <v>12161040</v>
      </c>
      <c r="B96" s="11">
        <v>0.05</v>
      </c>
      <c r="C96" s="12">
        <f>(A96*B96)/365*92</f>
        <v>153262.42191780821</v>
      </c>
      <c r="D96" s="13">
        <f>C96+A120</f>
        <v>2180102.4219178082</v>
      </c>
      <c r="F96" s="61">
        <f>$A$120</f>
        <v>2026840</v>
      </c>
    </row>
    <row r="97" spans="1:6" ht="15.75">
      <c r="A97" s="10" t="s">
        <v>60</v>
      </c>
      <c r="B97" s="11"/>
      <c r="C97" s="12"/>
      <c r="D97" s="13"/>
      <c r="F97" s="61"/>
    </row>
    <row r="98" spans="1:6" ht="16.5" thickBot="1">
      <c r="A98" s="10">
        <f>A96-A120</f>
        <v>10134200</v>
      </c>
      <c r="B98" s="11">
        <v>0.05</v>
      </c>
      <c r="C98" s="14">
        <f>(A98*B98)/365*92</f>
        <v>127718.68493150685</v>
      </c>
      <c r="D98" s="13">
        <f>C98+A120</f>
        <v>2154558.6849315069</v>
      </c>
      <c r="F98" s="61">
        <f>$A$120</f>
        <v>2026840</v>
      </c>
    </row>
    <row r="99" spans="1:6" ht="15.75">
      <c r="A99" s="15"/>
      <c r="B99" s="16" t="s">
        <v>19</v>
      </c>
      <c r="C99" s="17">
        <f>SUM(C92:C98)</f>
        <v>657751.22739726026</v>
      </c>
      <c r="D99" s="18"/>
      <c r="F99" s="62"/>
    </row>
    <row r="100" spans="1:6" ht="33.75" thickBot="1">
      <c r="A100" s="23"/>
      <c r="B100" s="24"/>
      <c r="C100" s="25" t="s">
        <v>61</v>
      </c>
      <c r="D100" s="26">
        <f>SUM(D92:D98)</f>
        <v>8765111.2273972593</v>
      </c>
      <c r="F100" s="64">
        <f>SUM(F92:F98)</f>
        <v>8107360</v>
      </c>
    </row>
    <row r="101" spans="1:6" ht="17.25" thickBot="1">
      <c r="A101" s="41"/>
      <c r="B101" s="42"/>
      <c r="C101" s="43"/>
      <c r="D101" s="44"/>
      <c r="F101" s="37"/>
    </row>
    <row r="102" spans="1:6" ht="39" thickBot="1">
      <c r="A102" s="45" t="s">
        <v>11</v>
      </c>
      <c r="B102" s="46" t="s">
        <v>12</v>
      </c>
      <c r="C102" s="46" t="s">
        <v>13</v>
      </c>
      <c r="D102" s="47" t="s">
        <v>14</v>
      </c>
      <c r="F102" s="59" t="s">
        <v>77</v>
      </c>
    </row>
    <row r="103" spans="1:6" ht="15.75">
      <c r="A103" s="6" t="s">
        <v>62</v>
      </c>
      <c r="B103" s="7"/>
      <c r="C103" s="8"/>
      <c r="D103" s="9"/>
      <c r="F103" s="60"/>
    </row>
    <row r="104" spans="1:6" ht="15.75">
      <c r="A104" s="10">
        <f>A98-A120</f>
        <v>8107360</v>
      </c>
      <c r="B104" s="11">
        <v>0.05</v>
      </c>
      <c r="C104" s="12">
        <f>(A104*B104)/365*91</f>
        <v>101064.3506849315</v>
      </c>
      <c r="D104" s="13">
        <f>C104+A120</f>
        <v>2127904.3506849315</v>
      </c>
      <c r="F104" s="61">
        <f>$A$120</f>
        <v>2026840</v>
      </c>
    </row>
    <row r="105" spans="1:6" ht="15.75">
      <c r="A105" s="10" t="s">
        <v>63</v>
      </c>
      <c r="B105" s="11"/>
      <c r="C105" s="12"/>
      <c r="D105" s="13"/>
      <c r="F105" s="61"/>
    </row>
    <row r="106" spans="1:6" ht="15.75">
      <c r="A106" s="10">
        <f>A104-A120</f>
        <v>6080520</v>
      </c>
      <c r="B106" s="11">
        <v>0.05</v>
      </c>
      <c r="C106" s="12">
        <f>(A106*B106)/365*91</f>
        <v>75798.263013698626</v>
      </c>
      <c r="D106" s="13">
        <f>C106+A120</f>
        <v>2102638.2630136986</v>
      </c>
      <c r="F106" s="61">
        <f>$A$120</f>
        <v>2026840</v>
      </c>
    </row>
    <row r="107" spans="1:6" ht="15.75">
      <c r="A107" s="10" t="s">
        <v>64</v>
      </c>
      <c r="B107" s="11"/>
      <c r="C107" s="12"/>
      <c r="D107" s="13"/>
      <c r="F107" s="61"/>
    </row>
    <row r="108" spans="1:6" ht="15.75">
      <c r="A108" s="10">
        <f>A106-A120</f>
        <v>4053680</v>
      </c>
      <c r="B108" s="11">
        <v>0.05</v>
      </c>
      <c r="C108" s="12">
        <f>(A108*B108)/365*92</f>
        <v>51087.47397260274</v>
      </c>
      <c r="D108" s="13">
        <f>C108+A120</f>
        <v>2077927.4739726027</v>
      </c>
      <c r="F108" s="61">
        <f>$A$120</f>
        <v>2026840</v>
      </c>
    </row>
    <row r="109" spans="1:6" ht="15.75">
      <c r="A109" s="10" t="s">
        <v>65</v>
      </c>
      <c r="B109" s="11"/>
      <c r="C109" s="12"/>
      <c r="D109" s="13"/>
      <c r="F109" s="61"/>
    </row>
    <row r="110" spans="1:6" ht="16.5" thickBot="1">
      <c r="A110" s="10">
        <f>A108-A120</f>
        <v>2026840</v>
      </c>
      <c r="B110" s="11">
        <v>0.05</v>
      </c>
      <c r="C110" s="14">
        <f>(A110*B110)/365*92</f>
        <v>25543.73698630137</v>
      </c>
      <c r="D110" s="13">
        <f>C110+A120</f>
        <v>2052383.7369863014</v>
      </c>
      <c r="F110" s="61">
        <f>$A$120</f>
        <v>2026840</v>
      </c>
    </row>
    <row r="111" spans="1:6" ht="15.75">
      <c r="A111" s="15"/>
      <c r="B111" s="16" t="s">
        <v>19</v>
      </c>
      <c r="C111" s="17">
        <f>SUM(C104:C110)</f>
        <v>253493.82465753425</v>
      </c>
      <c r="D111" s="18"/>
      <c r="F111" s="62"/>
    </row>
    <row r="112" spans="1:6" ht="33.75" thickBot="1">
      <c r="A112" s="23"/>
      <c r="B112" s="24"/>
      <c r="C112" s="25" t="s">
        <v>66</v>
      </c>
      <c r="D112" s="26">
        <f>SUM(D104:D110)</f>
        <v>8360853.8246575333</v>
      </c>
      <c r="F112" s="64">
        <f>SUM(F104:F110)</f>
        <v>8107360</v>
      </c>
    </row>
    <row r="113" spans="1:6" ht="16.5">
      <c r="A113" s="41"/>
      <c r="B113" s="42"/>
      <c r="C113" s="43"/>
      <c r="D113" s="44"/>
    </row>
    <row r="114" spans="1:6" ht="18">
      <c r="A114" s="428" t="s">
        <v>67</v>
      </c>
      <c r="B114" s="428"/>
      <c r="C114" s="428"/>
      <c r="D114" s="48">
        <f>SUM(D116:D118)</f>
        <v>80664981.9529863</v>
      </c>
      <c r="F114" s="375">
        <f>SUM(F16,F28,F40,F52,F64,F76,F88,F100,F112)</f>
        <v>64858900</v>
      </c>
    </row>
    <row r="115" spans="1:6" ht="16.5">
      <c r="A115" s="429" t="s">
        <v>68</v>
      </c>
      <c r="B115" s="429"/>
      <c r="C115" s="429"/>
      <c r="D115" s="49"/>
    </row>
    <row r="116" spans="1:6">
      <c r="A116" s="425" t="s">
        <v>69</v>
      </c>
      <c r="B116" s="425"/>
      <c r="C116" s="425"/>
      <c r="D116" s="50">
        <f>A120*31+A121</f>
        <v>64858900</v>
      </c>
    </row>
    <row r="117" spans="1:6">
      <c r="A117" s="425" t="s">
        <v>70</v>
      </c>
      <c r="B117" s="425"/>
      <c r="C117" s="425"/>
      <c r="D117" s="50">
        <f>SUM(C14,C27,C39,C51,C63,C75,C87,C99,C111)</f>
        <v>15546646.352986299</v>
      </c>
    </row>
    <row r="118" spans="1:6">
      <c r="A118" s="425" t="s">
        <v>71</v>
      </c>
      <c r="B118" s="425"/>
      <c r="C118" s="425"/>
      <c r="D118" s="50">
        <f>C15</f>
        <v>259435.6</v>
      </c>
    </row>
    <row r="119" spans="1:6">
      <c r="A119" s="51" t="s">
        <v>72</v>
      </c>
      <c r="B119" s="52"/>
    </row>
    <row r="120" spans="1:6" ht="15.75">
      <c r="A120" s="373">
        <v>2026840</v>
      </c>
      <c r="B120" s="370" t="s">
        <v>144</v>
      </c>
    </row>
    <row r="121" spans="1:6" ht="15.75">
      <c r="A121" s="374">
        <v>2026860</v>
      </c>
      <c r="B121" s="371" t="s">
        <v>145</v>
      </c>
      <c r="D121" s="53">
        <f>SUM(D117:D118)</f>
        <v>15806081.952986298</v>
      </c>
    </row>
    <row r="122" spans="1:6">
      <c r="D122" s="27"/>
    </row>
    <row r="123" spans="1:6" ht="15.75">
      <c r="B123" s="54"/>
    </row>
    <row r="124" spans="1:6">
      <c r="A124" s="52"/>
      <c r="B124" s="55"/>
    </row>
    <row r="125" spans="1:6">
      <c r="A125" s="52"/>
    </row>
    <row r="126" spans="1:6">
      <c r="B126" s="264"/>
    </row>
  </sheetData>
  <mergeCells count="7">
    <mergeCell ref="A118:C118"/>
    <mergeCell ref="A2:F2"/>
    <mergeCell ref="A3:D3"/>
    <mergeCell ref="A114:C114"/>
    <mergeCell ref="A115:C115"/>
    <mergeCell ref="A116:C116"/>
    <mergeCell ref="A117:C117"/>
  </mergeCells>
  <pageMargins left="0.22" right="0.22" top="0.28000000000000003" bottom="0.41" header="0.2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2:F114"/>
  <sheetViews>
    <sheetView topLeftCell="A82" zoomScaleNormal="100" workbookViewId="0">
      <selection activeCell="A110" sqref="A110"/>
    </sheetView>
  </sheetViews>
  <sheetFormatPr defaultRowHeight="14.25"/>
  <cols>
    <col min="1" max="1" width="20" customWidth="1"/>
    <col min="2" max="2" width="17.375" customWidth="1"/>
    <col min="3" max="4" width="15.625" customWidth="1"/>
    <col min="5" max="5" width="2" customWidth="1"/>
    <col min="6" max="6" width="19.125" customWidth="1"/>
  </cols>
  <sheetData>
    <row r="2" spans="1:6" ht="39" customHeight="1">
      <c r="A2" s="426" t="s">
        <v>156</v>
      </c>
      <c r="B2" s="426"/>
      <c r="C2" s="426"/>
      <c r="D2" s="426"/>
      <c r="E2" s="426"/>
      <c r="F2" s="426"/>
    </row>
    <row r="3" spans="1:6">
      <c r="A3" s="427"/>
      <c r="B3" s="427"/>
      <c r="C3" s="427"/>
      <c r="D3" s="427"/>
      <c r="F3" s="57" t="s">
        <v>76</v>
      </c>
    </row>
    <row r="4" spans="1:6" ht="15" thickBot="1">
      <c r="D4" s="2" t="s">
        <v>10</v>
      </c>
    </row>
    <row r="5" spans="1:6" ht="39" thickBot="1">
      <c r="A5" s="3" t="s">
        <v>11</v>
      </c>
      <c r="B5" s="4" t="s">
        <v>12</v>
      </c>
      <c r="C5" s="4" t="s">
        <v>13</v>
      </c>
      <c r="D5" s="5" t="s">
        <v>14</v>
      </c>
      <c r="F5" s="59" t="s">
        <v>77</v>
      </c>
    </row>
    <row r="6" spans="1:6" ht="11.25" customHeight="1">
      <c r="A6" s="6" t="s">
        <v>27</v>
      </c>
      <c r="B6" s="7"/>
      <c r="C6" s="8"/>
      <c r="D6" s="9"/>
      <c r="F6" s="60"/>
    </row>
    <row r="7" spans="1:6" ht="15.75">
      <c r="A7" s="10"/>
      <c r="B7" s="11">
        <v>0</v>
      </c>
      <c r="C7" s="12">
        <f>(A7*B7)/365*90</f>
        <v>0</v>
      </c>
      <c r="D7" s="13">
        <v>0</v>
      </c>
      <c r="F7" s="61"/>
    </row>
    <row r="8" spans="1:6" ht="15.75">
      <c r="A8" s="10" t="s">
        <v>28</v>
      </c>
      <c r="B8" s="11"/>
      <c r="C8" s="12"/>
      <c r="D8" s="13"/>
      <c r="F8" s="61"/>
    </row>
    <row r="9" spans="1:6" ht="15.75">
      <c r="A9" s="10"/>
      <c r="B9" s="11">
        <v>0</v>
      </c>
      <c r="C9" s="12">
        <f>(A9*B9)/365*90</f>
        <v>0</v>
      </c>
      <c r="D9" s="13">
        <v>0</v>
      </c>
      <c r="F9" s="61"/>
    </row>
    <row r="10" spans="1:6" ht="15.75">
      <c r="A10" s="10" t="s">
        <v>29</v>
      </c>
      <c r="B10" s="11"/>
      <c r="C10" s="12"/>
      <c r="D10" s="13"/>
      <c r="F10" s="61"/>
    </row>
    <row r="11" spans="1:6" ht="15.75">
      <c r="A11" s="10"/>
      <c r="B11" s="11">
        <v>0</v>
      </c>
      <c r="C11" s="12">
        <f>(A11*B11)/365*90</f>
        <v>0</v>
      </c>
      <c r="D11" s="13">
        <v>0</v>
      </c>
      <c r="F11" s="61"/>
    </row>
    <row r="12" spans="1:6" ht="15.75">
      <c r="A12" s="10" t="s">
        <v>30</v>
      </c>
      <c r="B12" s="11"/>
      <c r="C12" s="12"/>
      <c r="D12" s="13"/>
      <c r="F12" s="61"/>
    </row>
    <row r="13" spans="1:6" ht="16.5" thickBot="1">
      <c r="A13" s="387">
        <f>'Zestawienie kredytów'!F48</f>
        <v>193052629</v>
      </c>
      <c r="B13" s="388">
        <v>0</v>
      </c>
      <c r="C13" s="389">
        <f>(A13*B13)/365*90</f>
        <v>0</v>
      </c>
      <c r="D13" s="390">
        <f>C13</f>
        <v>0</v>
      </c>
      <c r="F13" s="61"/>
    </row>
    <row r="14" spans="1:6" ht="15.75">
      <c r="A14" s="19"/>
      <c r="B14" s="384" t="s">
        <v>172</v>
      </c>
      <c r="C14" s="385">
        <f>0.4%*A13</f>
        <v>772210.51600000006</v>
      </c>
      <c r="D14" s="386"/>
      <c r="F14" s="62"/>
    </row>
    <row r="15" spans="1:6" ht="33.75" thickBot="1">
      <c r="A15" s="23"/>
      <c r="B15" s="24"/>
      <c r="C15" s="25" t="s">
        <v>31</v>
      </c>
      <c r="D15" s="26">
        <f>SUM(D7:D13)+C14</f>
        <v>772210.51600000006</v>
      </c>
      <c r="F15" s="64">
        <f>SUM(F7:F13)</f>
        <v>0</v>
      </c>
    </row>
    <row r="16" spans="1:6" ht="15" thickBot="1">
      <c r="A16" s="27"/>
      <c r="B16" s="28"/>
      <c r="C16" s="29"/>
      <c r="D16" s="27"/>
      <c r="F16" s="67"/>
    </row>
    <row r="17" spans="1:6" ht="39" thickBot="1">
      <c r="A17" s="3" t="s">
        <v>11</v>
      </c>
      <c r="B17" s="4" t="s">
        <v>12</v>
      </c>
      <c r="C17" s="4" t="s">
        <v>13</v>
      </c>
      <c r="D17" s="5" t="s">
        <v>14</v>
      </c>
      <c r="F17" s="59" t="s">
        <v>77</v>
      </c>
    </row>
    <row r="18" spans="1:6" ht="15.75">
      <c r="A18" s="6" t="s">
        <v>32</v>
      </c>
      <c r="B18" s="7"/>
      <c r="C18" s="8"/>
      <c r="D18" s="9"/>
      <c r="F18" s="60"/>
    </row>
    <row r="19" spans="1:6" ht="15.75">
      <c r="A19" s="10">
        <f>A13</f>
        <v>193052629</v>
      </c>
      <c r="B19" s="11">
        <v>5.8999999999999997E-2</v>
      </c>
      <c r="C19" s="12">
        <f>(A19*B19)/365*180</f>
        <v>5617038.1369315069</v>
      </c>
      <c r="D19" s="13">
        <f>C19+A108</f>
        <v>12511774.136931507</v>
      </c>
      <c r="F19" s="61">
        <f>$A$108</f>
        <v>6894736</v>
      </c>
    </row>
    <row r="20" spans="1:6" ht="15.75">
      <c r="A20" s="10" t="s">
        <v>33</v>
      </c>
      <c r="B20" s="11"/>
      <c r="C20" s="12"/>
      <c r="D20" s="13"/>
      <c r="F20" s="61"/>
    </row>
    <row r="21" spans="1:6" ht="15.75">
      <c r="A21" s="10">
        <f>A19-A108</f>
        <v>186157893</v>
      </c>
      <c r="B21" s="11">
        <v>5.8999999999999997E-2</v>
      </c>
      <c r="C21" s="12">
        <f>(A21*B21)/365*91</f>
        <v>2738306.1027863012</v>
      </c>
      <c r="D21" s="13">
        <f>C21+A108</f>
        <v>9633042.1027863007</v>
      </c>
      <c r="F21" s="61">
        <f>$A$108</f>
        <v>6894736</v>
      </c>
    </row>
    <row r="22" spans="1:6" ht="15.75">
      <c r="A22" s="10" t="s">
        <v>34</v>
      </c>
      <c r="B22" s="11"/>
      <c r="C22" s="12"/>
      <c r="D22" s="13"/>
      <c r="F22" s="61"/>
    </row>
    <row r="23" spans="1:6" ht="15.75">
      <c r="A23" s="10">
        <f>A21-A108</f>
        <v>179263157</v>
      </c>
      <c r="B23" s="11">
        <v>5.8999999999999997E-2</v>
      </c>
      <c r="C23" s="12">
        <f>(A23*B23)/365*92</f>
        <v>2665864.1539616436</v>
      </c>
      <c r="D23" s="13">
        <f>C23+A108</f>
        <v>9560600.1539616436</v>
      </c>
      <c r="F23" s="61">
        <f>$A$108</f>
        <v>6894736</v>
      </c>
    </row>
    <row r="24" spans="1:6" ht="15.75">
      <c r="A24" s="10" t="s">
        <v>35</v>
      </c>
      <c r="B24" s="11"/>
      <c r="C24" s="12"/>
      <c r="D24" s="13"/>
      <c r="F24" s="61"/>
    </row>
    <row r="25" spans="1:6" ht="16.5" thickBot="1">
      <c r="A25" s="10">
        <f>A23-A108</f>
        <v>172368421</v>
      </c>
      <c r="B25" s="11">
        <v>5.8999999999999997E-2</v>
      </c>
      <c r="C25" s="14">
        <f>(A25*B25)/365*92</f>
        <v>2563330.9292821917</v>
      </c>
      <c r="D25" s="13">
        <f>C25+A108</f>
        <v>9458066.9292821921</v>
      </c>
      <c r="F25" s="61">
        <f>$A$108</f>
        <v>6894736</v>
      </c>
    </row>
    <row r="26" spans="1:6" ht="15.75">
      <c r="A26" s="15"/>
      <c r="B26" s="16" t="s">
        <v>19</v>
      </c>
      <c r="C26" s="17">
        <f>SUM(C19:C25)</f>
        <v>13584539.322961643</v>
      </c>
      <c r="D26" s="18"/>
      <c r="F26" s="62"/>
    </row>
    <row r="27" spans="1:6" ht="33.75" thickBot="1">
      <c r="A27" s="30"/>
      <c r="B27" s="31"/>
      <c r="C27" s="32" t="s">
        <v>36</v>
      </c>
      <c r="D27" s="33">
        <f>SUM(D19:D25)</f>
        <v>41163483.322961643</v>
      </c>
      <c r="F27" s="66">
        <f>SUM(F19:F25)</f>
        <v>27578944</v>
      </c>
    </row>
    <row r="28" spans="1:6" ht="17.25" thickBot="1">
      <c r="A28" s="34"/>
      <c r="B28" s="35"/>
      <c r="C28" s="36"/>
      <c r="D28" s="37"/>
      <c r="F28" s="37"/>
    </row>
    <row r="29" spans="1:6" ht="39" thickBot="1">
      <c r="A29" s="38" t="s">
        <v>11</v>
      </c>
      <c r="B29" s="39" t="s">
        <v>12</v>
      </c>
      <c r="C29" s="39" t="s">
        <v>13</v>
      </c>
      <c r="D29" s="40" t="s">
        <v>14</v>
      </c>
      <c r="F29" s="59" t="s">
        <v>77</v>
      </c>
    </row>
    <row r="30" spans="1:6" ht="15.75">
      <c r="A30" s="6" t="s">
        <v>37</v>
      </c>
      <c r="B30" s="7"/>
      <c r="C30" s="8"/>
      <c r="D30" s="9"/>
      <c r="F30" s="60"/>
    </row>
    <row r="31" spans="1:6" ht="15.75">
      <c r="A31" s="10">
        <f>A25-A108</f>
        <v>165473685</v>
      </c>
      <c r="B31" s="11">
        <v>5.5E-2</v>
      </c>
      <c r="C31" s="12">
        <f>(A31*B31)/365*90</f>
        <v>2244095.1801369865</v>
      </c>
      <c r="D31" s="13">
        <f>C31+A108</f>
        <v>9138831.1801369861</v>
      </c>
      <c r="F31" s="61">
        <f>$A$108</f>
        <v>6894736</v>
      </c>
    </row>
    <row r="32" spans="1:6" ht="15.75">
      <c r="A32" s="10" t="s">
        <v>38</v>
      </c>
      <c r="B32" s="11"/>
      <c r="C32" s="12"/>
      <c r="D32" s="13"/>
      <c r="F32" s="61"/>
    </row>
    <row r="33" spans="1:6" ht="15.75">
      <c r="A33" s="10">
        <f>A31-A108</f>
        <v>158578949</v>
      </c>
      <c r="B33" s="11">
        <v>5.5E-2</v>
      </c>
      <c r="C33" s="12">
        <f>(A33*B33)/365*91</f>
        <v>2174486.6842328766</v>
      </c>
      <c r="D33" s="13">
        <f>C33+A108</f>
        <v>9069222.6842328757</v>
      </c>
      <c r="F33" s="61">
        <f>$A$108</f>
        <v>6894736</v>
      </c>
    </row>
    <row r="34" spans="1:6" ht="15.75">
      <c r="A34" s="10" t="s">
        <v>39</v>
      </c>
      <c r="B34" s="11"/>
      <c r="C34" s="12"/>
      <c r="D34" s="13"/>
      <c r="F34" s="61"/>
    </row>
    <row r="35" spans="1:6" ht="15.75">
      <c r="A35" s="10">
        <f>A33-A108</f>
        <v>151684213</v>
      </c>
      <c r="B35" s="11">
        <v>5.5E-2</v>
      </c>
      <c r="C35" s="12">
        <f>(A35*B35)/365*92</f>
        <v>2102800.3226849316</v>
      </c>
      <c r="D35" s="13">
        <f>C35+A108</f>
        <v>8997536.3226849325</v>
      </c>
      <c r="F35" s="61">
        <f>$A$108</f>
        <v>6894736</v>
      </c>
    </row>
    <row r="36" spans="1:6" ht="15.75">
      <c r="A36" s="10" t="s">
        <v>40</v>
      </c>
      <c r="B36" s="11"/>
      <c r="C36" s="12"/>
      <c r="D36" s="13"/>
      <c r="F36" s="61"/>
    </row>
    <row r="37" spans="1:6" ht="16.5" thickBot="1">
      <c r="A37" s="10">
        <f>A35-A108</f>
        <v>144789477</v>
      </c>
      <c r="B37" s="11">
        <v>5.5E-2</v>
      </c>
      <c r="C37" s="14">
        <f>(A37*B37)/365*92</f>
        <v>2007218.5030684932</v>
      </c>
      <c r="D37" s="13">
        <f>C37+A108</f>
        <v>8901954.5030684937</v>
      </c>
      <c r="F37" s="61">
        <f>$A$108</f>
        <v>6894736</v>
      </c>
    </row>
    <row r="38" spans="1:6" ht="15.75">
      <c r="A38" s="15"/>
      <c r="B38" s="16" t="s">
        <v>19</v>
      </c>
      <c r="C38" s="17">
        <f>SUM(C31:C37)</f>
        <v>8528600.690123288</v>
      </c>
      <c r="D38" s="18"/>
      <c r="F38" s="62"/>
    </row>
    <row r="39" spans="1:6" ht="33.75" thickBot="1">
      <c r="A39" s="23"/>
      <c r="B39" s="24"/>
      <c r="C39" s="25" t="s">
        <v>41</v>
      </c>
      <c r="D39" s="26">
        <f>SUM(D31:D37)</f>
        <v>36107544.69012329</v>
      </c>
      <c r="F39" s="64">
        <f>SUM(F31:F37)</f>
        <v>27578944</v>
      </c>
    </row>
    <row r="40" spans="1:6" ht="17.25" thickBot="1">
      <c r="A40" s="41"/>
      <c r="B40" s="42"/>
      <c r="C40" s="43"/>
      <c r="D40" s="44"/>
      <c r="F40" s="37"/>
    </row>
    <row r="41" spans="1:6" ht="39" thickBot="1">
      <c r="A41" s="45" t="s">
        <v>11</v>
      </c>
      <c r="B41" s="46" t="s">
        <v>12</v>
      </c>
      <c r="C41" s="46" t="s">
        <v>13</v>
      </c>
      <c r="D41" s="47" t="s">
        <v>14</v>
      </c>
      <c r="F41" s="59" t="s">
        <v>77</v>
      </c>
    </row>
    <row r="42" spans="1:6" ht="15.75">
      <c r="A42" s="6" t="s">
        <v>42</v>
      </c>
      <c r="B42" s="7"/>
      <c r="C42" s="8"/>
      <c r="D42" s="9"/>
      <c r="F42" s="60"/>
    </row>
    <row r="43" spans="1:6" ht="15.75">
      <c r="A43" s="10">
        <f>A37-A108</f>
        <v>137894741</v>
      </c>
      <c r="B43" s="11">
        <v>5.5E-2</v>
      </c>
      <c r="C43" s="12">
        <f>(A43*B43)/365*91</f>
        <v>1890858.023849315</v>
      </c>
      <c r="D43" s="13">
        <f>C43+A108</f>
        <v>8785594.0238493159</v>
      </c>
      <c r="F43" s="61">
        <f>$A$108</f>
        <v>6894736</v>
      </c>
    </row>
    <row r="44" spans="1:6" ht="15.75">
      <c r="A44" s="10" t="s">
        <v>43</v>
      </c>
      <c r="B44" s="11"/>
      <c r="C44" s="12"/>
      <c r="D44" s="13"/>
      <c r="F44" s="61"/>
    </row>
    <row r="45" spans="1:6" ht="15.75">
      <c r="A45" s="10">
        <f>A43-A108</f>
        <v>131000005</v>
      </c>
      <c r="B45" s="11">
        <v>5.5E-2</v>
      </c>
      <c r="C45" s="12">
        <f>(A45*B45)/365*91</f>
        <v>1796315.1370547945</v>
      </c>
      <c r="D45" s="13">
        <f>C45+A108</f>
        <v>8691051.1370547935</v>
      </c>
      <c r="F45" s="61">
        <f>$A$108</f>
        <v>6894736</v>
      </c>
    </row>
    <row r="46" spans="1:6" ht="15.75">
      <c r="A46" s="10" t="s">
        <v>44</v>
      </c>
      <c r="B46" s="11"/>
      <c r="C46" s="12"/>
      <c r="D46" s="13"/>
      <c r="F46" s="61"/>
    </row>
    <row r="47" spans="1:6" ht="15.75">
      <c r="A47" s="10">
        <f>A45-A108</f>
        <v>124105269</v>
      </c>
      <c r="B47" s="11">
        <v>5.5E-2</v>
      </c>
      <c r="C47" s="12">
        <f>(A47*B47)/365*92</f>
        <v>1720473.0442191779</v>
      </c>
      <c r="D47" s="13">
        <f>C47+A108</f>
        <v>8615209.0442191772</v>
      </c>
      <c r="F47" s="61">
        <f>$A$108</f>
        <v>6894736</v>
      </c>
    </row>
    <row r="48" spans="1:6" ht="15.75">
      <c r="A48" s="10" t="s">
        <v>45</v>
      </c>
      <c r="B48" s="11"/>
      <c r="C48" s="12"/>
      <c r="D48" s="13"/>
      <c r="F48" s="61"/>
    </row>
    <row r="49" spans="1:6" ht="16.5" thickBot="1">
      <c r="A49" s="10">
        <f>A47-A108</f>
        <v>117210533</v>
      </c>
      <c r="B49" s="11">
        <v>5.5E-2</v>
      </c>
      <c r="C49" s="14">
        <f>(A49*B49)/365*92</f>
        <v>1624891.2246027398</v>
      </c>
      <c r="D49" s="13">
        <f>C49+A108</f>
        <v>8519627.2246027403</v>
      </c>
      <c r="F49" s="61">
        <f>$A$108</f>
        <v>6894736</v>
      </c>
    </row>
    <row r="50" spans="1:6" ht="15.75">
      <c r="A50" s="15"/>
      <c r="B50" s="16" t="s">
        <v>19</v>
      </c>
      <c r="C50" s="17">
        <f>SUM(C43:C49)</f>
        <v>7032537.429726027</v>
      </c>
      <c r="D50" s="18"/>
      <c r="F50" s="62"/>
    </row>
    <row r="51" spans="1:6" ht="33.75" thickBot="1">
      <c r="A51" s="23"/>
      <c r="B51" s="24"/>
      <c r="C51" s="25" t="s">
        <v>46</v>
      </c>
      <c r="D51" s="26">
        <f>SUM(D43:D49)</f>
        <v>34611481.429726027</v>
      </c>
      <c r="F51" s="64">
        <f>SUM(F43:F49)</f>
        <v>27578944</v>
      </c>
    </row>
    <row r="52" spans="1:6" ht="17.25" thickBot="1">
      <c r="A52" s="41"/>
      <c r="B52" s="42"/>
      <c r="C52" s="43"/>
      <c r="D52" s="44"/>
      <c r="F52" s="37"/>
    </row>
    <row r="53" spans="1:6" ht="39" thickBot="1">
      <c r="A53" s="45" t="s">
        <v>11</v>
      </c>
      <c r="B53" s="46" t="s">
        <v>12</v>
      </c>
      <c r="C53" s="46" t="s">
        <v>13</v>
      </c>
      <c r="D53" s="47" t="s">
        <v>14</v>
      </c>
      <c r="F53" s="59" t="s">
        <v>77</v>
      </c>
    </row>
    <row r="54" spans="1:6" ht="15.75">
      <c r="A54" s="6" t="s">
        <v>47</v>
      </c>
      <c r="B54" s="7"/>
      <c r="C54" s="8"/>
      <c r="D54" s="9"/>
      <c r="F54" s="60"/>
    </row>
    <row r="55" spans="1:6" ht="15.75">
      <c r="A55" s="10">
        <f>A49-A108</f>
        <v>110315797</v>
      </c>
      <c r="B55" s="11">
        <v>5.2999999999999999E-2</v>
      </c>
      <c r="C55" s="12">
        <f>(A55*B55)/365*90</f>
        <v>1441661.2375068492</v>
      </c>
      <c r="D55" s="13">
        <f>C55+A108</f>
        <v>8336397.2375068497</v>
      </c>
      <c r="F55" s="61">
        <f>$A$108</f>
        <v>6894736</v>
      </c>
    </row>
    <row r="56" spans="1:6" ht="15.75">
      <c r="A56" s="10" t="s">
        <v>48</v>
      </c>
      <c r="B56" s="11"/>
      <c r="C56" s="12"/>
      <c r="D56" s="13"/>
      <c r="F56" s="61"/>
    </row>
    <row r="57" spans="1:6" ht="15.75">
      <c r="A57" s="10">
        <f>A55-A108</f>
        <v>103421061</v>
      </c>
      <c r="B57" s="11">
        <v>5.2999999999999999E-2</v>
      </c>
      <c r="C57" s="12">
        <f>(A57*B57)/365*91</f>
        <v>1366574.7320630136</v>
      </c>
      <c r="D57" s="13">
        <f>C57+A108</f>
        <v>8261310.7320630141</v>
      </c>
      <c r="F57" s="61">
        <f>$A$108</f>
        <v>6894736</v>
      </c>
    </row>
    <row r="58" spans="1:6" ht="15.75">
      <c r="A58" s="10" t="s">
        <v>49</v>
      </c>
      <c r="B58" s="11"/>
      <c r="C58" s="12"/>
      <c r="D58" s="13"/>
      <c r="F58" s="61"/>
    </row>
    <row r="59" spans="1:6" ht="15.75">
      <c r="A59" s="10">
        <f>A57-A108</f>
        <v>96526325</v>
      </c>
      <c r="B59" s="11">
        <v>5.2999999999999999E-2</v>
      </c>
      <c r="C59" s="12">
        <f>(A59*B59)/365*92</f>
        <v>1289485.9197260274</v>
      </c>
      <c r="D59" s="13">
        <f>C59+A108</f>
        <v>8184221.9197260272</v>
      </c>
      <c r="F59" s="61">
        <f>$A$108</f>
        <v>6894736</v>
      </c>
    </row>
    <row r="60" spans="1:6" ht="15.75">
      <c r="A60" s="10" t="s">
        <v>50</v>
      </c>
      <c r="B60" s="11"/>
      <c r="C60" s="12"/>
      <c r="D60" s="13"/>
      <c r="F60" s="61"/>
    </row>
    <row r="61" spans="1:6" ht="16.5" thickBot="1">
      <c r="A61" s="10">
        <f>A59-A108</f>
        <v>89631589</v>
      </c>
      <c r="B61" s="11">
        <v>5.2999999999999999E-2</v>
      </c>
      <c r="C61" s="14">
        <f>(A61*B61)/365*92</f>
        <v>1197379.8026410961</v>
      </c>
      <c r="D61" s="13">
        <f>C61+A108</f>
        <v>8092115.8026410956</v>
      </c>
      <c r="F61" s="61">
        <f>$A$108</f>
        <v>6894736</v>
      </c>
    </row>
    <row r="62" spans="1:6" ht="15.75">
      <c r="A62" s="15"/>
      <c r="B62" s="16" t="s">
        <v>19</v>
      </c>
      <c r="C62" s="17">
        <f>SUM(C55:C61)</f>
        <v>5295101.6919369865</v>
      </c>
      <c r="D62" s="18"/>
      <c r="F62" s="62"/>
    </row>
    <row r="63" spans="1:6" ht="33.75" thickBot="1">
      <c r="A63" s="23"/>
      <c r="B63" s="24"/>
      <c r="C63" s="25" t="s">
        <v>51</v>
      </c>
      <c r="D63" s="26">
        <f>SUM(D55:D61)</f>
        <v>32874045.691936985</v>
      </c>
      <c r="F63" s="64">
        <f>SUM(F55:F61)</f>
        <v>27578944</v>
      </c>
    </row>
    <row r="64" spans="1:6" ht="17.25" thickBot="1">
      <c r="A64" s="41"/>
      <c r="B64" s="42"/>
      <c r="C64" s="43"/>
      <c r="D64" s="44"/>
      <c r="F64" s="37"/>
    </row>
    <row r="65" spans="1:6" ht="39" thickBot="1">
      <c r="A65" s="45" t="s">
        <v>11</v>
      </c>
      <c r="B65" s="46" t="s">
        <v>12</v>
      </c>
      <c r="C65" s="46" t="s">
        <v>13</v>
      </c>
      <c r="D65" s="47" t="s">
        <v>14</v>
      </c>
      <c r="F65" s="59" t="s">
        <v>77</v>
      </c>
    </row>
    <row r="66" spans="1:6" ht="15.75">
      <c r="A66" s="6" t="s">
        <v>52</v>
      </c>
      <c r="B66" s="7"/>
      <c r="C66" s="8"/>
      <c r="D66" s="9"/>
      <c r="F66" s="60"/>
    </row>
    <row r="67" spans="1:6" ht="15.75">
      <c r="A67" s="10">
        <f>A61-A108</f>
        <v>82736853</v>
      </c>
      <c r="B67" s="11">
        <v>5.5E-2</v>
      </c>
      <c r="C67" s="12">
        <f>(A67*B67)/365*90</f>
        <v>1122047.7324657533</v>
      </c>
      <c r="D67" s="13">
        <f>C67+A108</f>
        <v>8016783.7324657533</v>
      </c>
      <c r="F67" s="61">
        <f>$A$108</f>
        <v>6894736</v>
      </c>
    </row>
    <row r="68" spans="1:6" ht="15.75">
      <c r="A68" s="10" t="s">
        <v>53</v>
      </c>
      <c r="B68" s="11"/>
      <c r="C68" s="12"/>
      <c r="D68" s="13"/>
      <c r="F68" s="61"/>
    </row>
    <row r="69" spans="1:6" ht="15.75">
      <c r="A69" s="10">
        <f>A67-A108</f>
        <v>75842117</v>
      </c>
      <c r="B69" s="11">
        <v>5.5E-2</v>
      </c>
      <c r="C69" s="12">
        <f>(A69*B69)/365*91</f>
        <v>1039972.0426986301</v>
      </c>
      <c r="D69" s="13">
        <f>C69+A108</f>
        <v>7934708.0426986301</v>
      </c>
      <c r="F69" s="61">
        <f>$A$108</f>
        <v>6894736</v>
      </c>
    </row>
    <row r="70" spans="1:6" ht="15.75">
      <c r="A70" s="10" t="s">
        <v>54</v>
      </c>
      <c r="B70" s="11"/>
      <c r="C70" s="12"/>
      <c r="D70" s="13"/>
      <c r="F70" s="61"/>
    </row>
    <row r="71" spans="1:6" ht="15.75">
      <c r="A71" s="10">
        <f>A69-A108</f>
        <v>68947381</v>
      </c>
      <c r="B71" s="11">
        <v>5.5E-2</v>
      </c>
      <c r="C71" s="12">
        <f>(A71*B71)/365*92</f>
        <v>955818.48728767131</v>
      </c>
      <c r="D71" s="13">
        <f>C71+A108</f>
        <v>7850554.4872876713</v>
      </c>
      <c r="F71" s="61">
        <f>$A$108</f>
        <v>6894736</v>
      </c>
    </row>
    <row r="72" spans="1:6" ht="15.75">
      <c r="A72" s="10" t="s">
        <v>55</v>
      </c>
      <c r="B72" s="11"/>
      <c r="C72" s="12"/>
      <c r="D72" s="13"/>
      <c r="F72" s="61"/>
    </row>
    <row r="73" spans="1:6" ht="16.5" thickBot="1">
      <c r="A73" s="10">
        <f>A71-A108</f>
        <v>62052645</v>
      </c>
      <c r="B73" s="11">
        <v>5.5E-2</v>
      </c>
      <c r="C73" s="14">
        <f>(A73*B73)/365*92</f>
        <v>860236.66767123295</v>
      </c>
      <c r="D73" s="13">
        <f>C73+A108</f>
        <v>7754972.6676712334</v>
      </c>
      <c r="F73" s="61">
        <f>$A$108</f>
        <v>6894736</v>
      </c>
    </row>
    <row r="74" spans="1:6" ht="15.75">
      <c r="A74" s="15"/>
      <c r="B74" s="16" t="s">
        <v>19</v>
      </c>
      <c r="C74" s="17">
        <f>SUM(C67:C73)</f>
        <v>3978074.9301232877</v>
      </c>
      <c r="D74" s="18"/>
      <c r="F74" s="62"/>
    </row>
    <row r="75" spans="1:6" ht="33.75" thickBot="1">
      <c r="A75" s="23"/>
      <c r="B75" s="24"/>
      <c r="C75" s="25" t="s">
        <v>56</v>
      </c>
      <c r="D75" s="26">
        <f>SUM(D67:D73)</f>
        <v>31557018.930123288</v>
      </c>
      <c r="F75" s="64">
        <f>SUM(F67:F73)</f>
        <v>27578944</v>
      </c>
    </row>
    <row r="76" spans="1:6" ht="17.25" thickBot="1">
      <c r="A76" s="41"/>
      <c r="B76" s="42"/>
      <c r="C76" s="43"/>
      <c r="D76" s="44"/>
      <c r="F76" s="37"/>
    </row>
    <row r="77" spans="1:6" ht="39" thickBot="1">
      <c r="A77" s="45" t="s">
        <v>11</v>
      </c>
      <c r="B77" s="46" t="s">
        <v>12</v>
      </c>
      <c r="C77" s="46" t="s">
        <v>13</v>
      </c>
      <c r="D77" s="47" t="s">
        <v>14</v>
      </c>
      <c r="F77" s="59" t="s">
        <v>77</v>
      </c>
    </row>
    <row r="78" spans="1:6" ht="15.75">
      <c r="A78" s="6" t="s">
        <v>57</v>
      </c>
      <c r="B78" s="7"/>
      <c r="C78" s="8"/>
      <c r="D78" s="9"/>
      <c r="F78" s="60"/>
    </row>
    <row r="79" spans="1:6" ht="15.75">
      <c r="A79" s="10">
        <f>A73-A108</f>
        <v>55157909</v>
      </c>
      <c r="B79" s="11">
        <v>5.2999999999999999E-2</v>
      </c>
      <c r="C79" s="12">
        <f>(A79*B79)/365*90</f>
        <v>720830.75597260275</v>
      </c>
      <c r="D79" s="13">
        <f>C79+A108</f>
        <v>7615566.7559726024</v>
      </c>
      <c r="F79" s="61">
        <f>$A$108</f>
        <v>6894736</v>
      </c>
    </row>
    <row r="80" spans="1:6" ht="15.75">
      <c r="A80" s="10" t="s">
        <v>58</v>
      </c>
      <c r="B80" s="11"/>
      <c r="C80" s="12"/>
      <c r="D80" s="13"/>
      <c r="F80" s="61"/>
    </row>
    <row r="81" spans="1:6" ht="15.75">
      <c r="A81" s="10">
        <f>A79-A108</f>
        <v>48263173</v>
      </c>
      <c r="B81" s="11">
        <v>5.2999999999999999E-2</v>
      </c>
      <c r="C81" s="12">
        <f>(A81*B81)/365*91</f>
        <v>637735.02295616432</v>
      </c>
      <c r="D81" s="13">
        <f>C81+A108</f>
        <v>7532471.0229561646</v>
      </c>
      <c r="F81" s="61">
        <f>$A$108</f>
        <v>6894736</v>
      </c>
    </row>
    <row r="82" spans="1:6" ht="15.75">
      <c r="A82" s="10" t="s">
        <v>59</v>
      </c>
      <c r="B82" s="11"/>
      <c r="C82" s="12"/>
      <c r="D82" s="13"/>
      <c r="F82" s="61"/>
    </row>
    <row r="83" spans="1:6" ht="15.75">
      <c r="A83" s="10">
        <f>A81-A108</f>
        <v>41368437</v>
      </c>
      <c r="B83" s="11">
        <v>5.2999999999999999E-2</v>
      </c>
      <c r="C83" s="12">
        <f>(A83*B83)/365*92</f>
        <v>552636.98304657533</v>
      </c>
      <c r="D83" s="13">
        <f>C83+A108</f>
        <v>7447372.9830465754</v>
      </c>
      <c r="F83" s="61">
        <f>$A$108</f>
        <v>6894736</v>
      </c>
    </row>
    <row r="84" spans="1:6" ht="15.75">
      <c r="A84" s="10" t="s">
        <v>60</v>
      </c>
      <c r="B84" s="11"/>
      <c r="C84" s="12"/>
      <c r="D84" s="13"/>
      <c r="F84" s="61"/>
    </row>
    <row r="85" spans="1:6" ht="16.5" thickBot="1">
      <c r="A85" s="10">
        <f>A83-A108</f>
        <v>34473701</v>
      </c>
      <c r="B85" s="11">
        <v>5.2999999999999999E-2</v>
      </c>
      <c r="C85" s="14">
        <f>(A85*B85)/365*92</f>
        <v>460530.86596164387</v>
      </c>
      <c r="D85" s="13">
        <f>C85+A108</f>
        <v>7355266.8659616439</v>
      </c>
      <c r="F85" s="61">
        <f>$A$108</f>
        <v>6894736</v>
      </c>
    </row>
    <row r="86" spans="1:6" ht="15.75">
      <c r="A86" s="15"/>
      <c r="B86" s="16" t="s">
        <v>19</v>
      </c>
      <c r="C86" s="17">
        <f>SUM(C79:C85)</f>
        <v>2371733.6279369863</v>
      </c>
      <c r="D86" s="18"/>
      <c r="F86" s="62"/>
    </row>
    <row r="87" spans="1:6" ht="33.75" thickBot="1">
      <c r="A87" s="23"/>
      <c r="B87" s="24"/>
      <c r="C87" s="25" t="s">
        <v>61</v>
      </c>
      <c r="D87" s="26">
        <f>SUM(D79:D85)</f>
        <v>29950677.627936989</v>
      </c>
      <c r="F87" s="64">
        <f>SUM(F79:F85)</f>
        <v>27578944</v>
      </c>
    </row>
    <row r="88" spans="1:6" ht="17.25" thickBot="1">
      <c r="A88" s="41"/>
      <c r="B88" s="42"/>
      <c r="C88" s="43"/>
      <c r="D88" s="44"/>
      <c r="F88" s="37"/>
    </row>
    <row r="89" spans="1:6" ht="39" thickBot="1">
      <c r="A89" s="45" t="s">
        <v>11</v>
      </c>
      <c r="B89" s="46" t="s">
        <v>12</v>
      </c>
      <c r="C89" s="46" t="s">
        <v>13</v>
      </c>
      <c r="D89" s="47" t="s">
        <v>14</v>
      </c>
      <c r="F89" s="59" t="s">
        <v>77</v>
      </c>
    </row>
    <row r="90" spans="1:6" ht="15.75">
      <c r="A90" s="6" t="s">
        <v>62</v>
      </c>
      <c r="B90" s="7"/>
      <c r="C90" s="8"/>
      <c r="D90" s="9"/>
      <c r="F90" s="60"/>
    </row>
    <row r="91" spans="1:6" ht="15.75">
      <c r="A91" s="10">
        <f>A85-A108</f>
        <v>27578965</v>
      </c>
      <c r="B91" s="11">
        <v>0.05</v>
      </c>
      <c r="C91" s="12">
        <f>(A91*B91)/365*91</f>
        <v>343792.57739726029</v>
      </c>
      <c r="D91" s="13">
        <f>C91+A108</f>
        <v>7238528.5773972599</v>
      </c>
      <c r="F91" s="61">
        <f>$A$108</f>
        <v>6894736</v>
      </c>
    </row>
    <row r="92" spans="1:6" ht="15.75">
      <c r="A92" s="10" t="s">
        <v>63</v>
      </c>
      <c r="B92" s="11"/>
      <c r="C92" s="12"/>
      <c r="D92" s="13"/>
      <c r="F92" s="61"/>
    </row>
    <row r="93" spans="1:6" ht="15.75">
      <c r="A93" s="10">
        <f>A91-A108</f>
        <v>20684229</v>
      </c>
      <c r="B93" s="11">
        <v>0.05</v>
      </c>
      <c r="C93" s="12">
        <f>(A93*B93)/365*91</f>
        <v>257844.49849315072</v>
      </c>
      <c r="D93" s="13">
        <f>C93+A108</f>
        <v>7152580.4984931508</v>
      </c>
      <c r="F93" s="61">
        <f>$A$108</f>
        <v>6894736</v>
      </c>
    </row>
    <row r="94" spans="1:6" ht="15.75">
      <c r="A94" s="10" t="s">
        <v>64</v>
      </c>
      <c r="B94" s="11"/>
      <c r="C94" s="12"/>
      <c r="D94" s="13"/>
      <c r="F94" s="61"/>
    </row>
    <row r="95" spans="1:6" ht="15.75">
      <c r="A95" s="10">
        <f>A93-A108</f>
        <v>13789493</v>
      </c>
      <c r="B95" s="11">
        <v>0.05</v>
      </c>
      <c r="C95" s="12">
        <f>(A95*B95)/365*92</f>
        <v>173785.39123287672</v>
      </c>
      <c r="D95" s="13">
        <f>C95+A108</f>
        <v>7068521.391232877</v>
      </c>
      <c r="F95" s="61">
        <f>$A$108</f>
        <v>6894736</v>
      </c>
    </row>
    <row r="96" spans="1:6" ht="15.75">
      <c r="A96" s="10" t="s">
        <v>65</v>
      </c>
      <c r="B96" s="11"/>
      <c r="C96" s="12"/>
      <c r="D96" s="13"/>
      <c r="F96" s="61"/>
    </row>
    <row r="97" spans="1:6" ht="16.5" thickBot="1">
      <c r="A97" s="10">
        <f>A95-A108</f>
        <v>6894757</v>
      </c>
      <c r="B97" s="11">
        <v>0.05</v>
      </c>
      <c r="C97" s="14">
        <f>(A97*B97)/365*92</f>
        <v>86892.827945205485</v>
      </c>
      <c r="D97" s="13">
        <f>C97+A109</f>
        <v>6981649.8279452054</v>
      </c>
      <c r="F97" s="61">
        <f>$A$109</f>
        <v>6894757</v>
      </c>
    </row>
    <row r="98" spans="1:6" ht="15.75">
      <c r="A98" s="15"/>
      <c r="B98" s="16" t="s">
        <v>19</v>
      </c>
      <c r="C98" s="17">
        <f>SUM(C91:C97)</f>
        <v>862315.29506849323</v>
      </c>
      <c r="D98" s="18"/>
      <c r="F98" s="62"/>
    </row>
    <row r="99" spans="1:6" ht="33.75" thickBot="1">
      <c r="A99" s="23"/>
      <c r="B99" s="24"/>
      <c r="C99" s="25" t="s">
        <v>66</v>
      </c>
      <c r="D99" s="26">
        <f>SUM(D91:D97)</f>
        <v>28441280.295068495</v>
      </c>
      <c r="F99" s="64">
        <f>SUM(F91:F97)</f>
        <v>27578965</v>
      </c>
    </row>
    <row r="100" spans="1:6" ht="16.5">
      <c r="A100" s="41"/>
      <c r="B100" s="42"/>
      <c r="C100" s="43"/>
      <c r="D100" s="44"/>
      <c r="F100" s="68"/>
    </row>
    <row r="101" spans="1:6" ht="16.5">
      <c r="A101" s="41"/>
      <c r="B101" s="42"/>
      <c r="C101" s="43"/>
      <c r="D101" s="44"/>
    </row>
    <row r="102" spans="1:6" ht="18">
      <c r="A102" s="428" t="s">
        <v>67</v>
      </c>
      <c r="B102" s="428"/>
      <c r="C102" s="428"/>
      <c r="D102" s="48">
        <f>SUM(D104:D106)</f>
        <v>236249953.01987672</v>
      </c>
      <c r="F102" s="375">
        <f>SUM(F15,F27,F39,F51,F63,F75,F87,F99)</f>
        <v>193052629</v>
      </c>
    </row>
    <row r="103" spans="1:6" ht="16.5">
      <c r="A103" s="429" t="s">
        <v>68</v>
      </c>
      <c r="B103" s="429"/>
      <c r="C103" s="429"/>
      <c r="D103" s="49"/>
    </row>
    <row r="104" spans="1:6">
      <c r="A104" s="425" t="s">
        <v>69</v>
      </c>
      <c r="B104" s="425"/>
      <c r="C104" s="425"/>
      <c r="D104" s="50">
        <f>A108*27+A109</f>
        <v>193052629</v>
      </c>
    </row>
    <row r="105" spans="1:6">
      <c r="A105" s="425" t="s">
        <v>70</v>
      </c>
      <c r="B105" s="425"/>
      <c r="C105" s="425"/>
      <c r="D105" s="50">
        <f>SUM(C14,C26,C38,C50,C62,C74,C86,C98)</f>
        <v>42425113.503876716</v>
      </c>
    </row>
    <row r="106" spans="1:6">
      <c r="A106" s="425" t="s">
        <v>71</v>
      </c>
      <c r="B106" s="425"/>
      <c r="C106" s="425"/>
      <c r="D106" s="50">
        <f>C14</f>
        <v>772210.51600000006</v>
      </c>
    </row>
    <row r="107" spans="1:6">
      <c r="A107" s="51" t="s">
        <v>72</v>
      </c>
      <c r="B107" s="52"/>
    </row>
    <row r="108" spans="1:6" ht="15.75">
      <c r="A108" s="372">
        <v>6894736</v>
      </c>
      <c r="B108" s="381" t="s">
        <v>317</v>
      </c>
    </row>
    <row r="109" spans="1:6" ht="15.75">
      <c r="A109" s="382">
        <v>6894757</v>
      </c>
      <c r="B109" s="383" t="s">
        <v>145</v>
      </c>
      <c r="C109" s="92"/>
      <c r="D109" s="29">
        <f>SUM(D105:D106)</f>
        <v>43197324.019876719</v>
      </c>
    </row>
    <row r="111" spans="1:6" ht="15.75">
      <c r="A111" t="s">
        <v>73</v>
      </c>
      <c r="B111" s="54">
        <v>3.8600000000000002E-2</v>
      </c>
    </row>
    <row r="112" spans="1:6">
      <c r="A112" s="52" t="s">
        <v>74</v>
      </c>
      <c r="B112" s="55">
        <v>1.6578999999999999</v>
      </c>
    </row>
    <row r="113" spans="1:2">
      <c r="A113" s="52" t="s">
        <v>75</v>
      </c>
    </row>
    <row r="114" spans="1:2">
      <c r="B114" s="113">
        <f>3.86*165.79%</f>
        <v>6.3994939999999998</v>
      </c>
    </row>
  </sheetData>
  <mergeCells count="7">
    <mergeCell ref="A106:C106"/>
    <mergeCell ref="A2:F2"/>
    <mergeCell ref="A3:D3"/>
    <mergeCell ref="A102:C102"/>
    <mergeCell ref="A103:C103"/>
    <mergeCell ref="A104:C104"/>
    <mergeCell ref="A105:C105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2:F102"/>
  <sheetViews>
    <sheetView zoomScaleNormal="100" workbookViewId="0">
      <selection activeCell="I95" sqref="I95"/>
    </sheetView>
  </sheetViews>
  <sheetFormatPr defaultRowHeight="14.25"/>
  <cols>
    <col min="1" max="1" width="20" customWidth="1"/>
    <col min="2" max="2" width="17.375" customWidth="1"/>
    <col min="3" max="4" width="15.625" customWidth="1"/>
    <col min="5" max="5" width="2" customWidth="1"/>
    <col min="6" max="6" width="19.125" customWidth="1"/>
  </cols>
  <sheetData>
    <row r="2" spans="1:6" ht="39" customHeight="1">
      <c r="A2" s="426" t="s">
        <v>161</v>
      </c>
      <c r="B2" s="426"/>
      <c r="C2" s="426"/>
      <c r="D2" s="426"/>
      <c r="E2" s="426"/>
      <c r="F2" s="426"/>
    </row>
    <row r="3" spans="1:6">
      <c r="A3" s="427"/>
      <c r="B3" s="427"/>
      <c r="C3" s="427"/>
      <c r="D3" s="427"/>
      <c r="F3" s="57" t="s">
        <v>76</v>
      </c>
    </row>
    <row r="4" spans="1:6" ht="15" thickBot="1">
      <c r="D4" s="2" t="s">
        <v>10</v>
      </c>
    </row>
    <row r="5" spans="1:6" ht="39" thickBot="1">
      <c r="A5" s="3" t="s">
        <v>11</v>
      </c>
      <c r="B5" s="4" t="s">
        <v>12</v>
      </c>
      <c r="C5" s="4" t="s">
        <v>13</v>
      </c>
      <c r="D5" s="5" t="s">
        <v>14</v>
      </c>
      <c r="F5" s="59" t="s">
        <v>77</v>
      </c>
    </row>
    <row r="6" spans="1:6" ht="15" customHeight="1">
      <c r="A6" s="6" t="s">
        <v>32</v>
      </c>
      <c r="B6" s="7"/>
      <c r="C6" s="8"/>
      <c r="D6" s="9"/>
      <c r="F6" s="60"/>
    </row>
    <row r="7" spans="1:6" ht="15.75">
      <c r="A7" s="10"/>
      <c r="B7" s="11">
        <v>0</v>
      </c>
      <c r="C7" s="12">
        <f>(A7*B7)/365*90</f>
        <v>0</v>
      </c>
      <c r="D7" s="13">
        <v>0</v>
      </c>
      <c r="F7" s="61"/>
    </row>
    <row r="8" spans="1:6" ht="15.75">
      <c r="A8" s="10" t="s">
        <v>33</v>
      </c>
      <c r="B8" s="11"/>
      <c r="C8" s="12"/>
      <c r="D8" s="13"/>
      <c r="F8" s="61"/>
    </row>
    <row r="9" spans="1:6" ht="15.75">
      <c r="A9" s="10"/>
      <c r="B9" s="11">
        <v>0</v>
      </c>
      <c r="C9" s="12">
        <f>(A9*B9)/365*90</f>
        <v>0</v>
      </c>
      <c r="D9" s="13">
        <v>0</v>
      </c>
      <c r="F9" s="61"/>
    </row>
    <row r="10" spans="1:6" ht="15.75">
      <c r="A10" s="10" t="s">
        <v>34</v>
      </c>
      <c r="B10" s="11"/>
      <c r="C10" s="12"/>
      <c r="D10" s="13"/>
      <c r="F10" s="61"/>
    </row>
    <row r="11" spans="1:6" ht="15.75">
      <c r="A11" s="10"/>
      <c r="B11" s="11">
        <v>0</v>
      </c>
      <c r="C11" s="12">
        <f>(A11*B11)/365*90</f>
        <v>0</v>
      </c>
      <c r="D11" s="13">
        <v>0</v>
      </c>
      <c r="F11" s="61"/>
    </row>
    <row r="12" spans="1:6" ht="15.75">
      <c r="A12" s="10" t="s">
        <v>35</v>
      </c>
      <c r="B12" s="11"/>
      <c r="C12" s="12"/>
      <c r="D12" s="13"/>
      <c r="F12" s="61"/>
    </row>
    <row r="13" spans="1:6" ht="16.5" thickBot="1">
      <c r="A13" s="387">
        <v>32048780</v>
      </c>
      <c r="B13" s="388">
        <v>0</v>
      </c>
      <c r="C13" s="389">
        <f>(A13*B13)/365*90</f>
        <v>0</v>
      </c>
      <c r="D13" s="390">
        <f>C13</f>
        <v>0</v>
      </c>
      <c r="F13" s="61"/>
    </row>
    <row r="14" spans="1:6" ht="15.75">
      <c r="A14" s="19"/>
      <c r="B14" s="384" t="s">
        <v>172</v>
      </c>
      <c r="C14" s="385">
        <f>0.4%*A13</f>
        <v>128195.12000000001</v>
      </c>
      <c r="D14" s="386"/>
      <c r="F14" s="62"/>
    </row>
    <row r="15" spans="1:6" ht="33.75" thickBot="1">
      <c r="A15" s="23"/>
      <c r="B15" s="24"/>
      <c r="C15" s="25" t="s">
        <v>36</v>
      </c>
      <c r="D15" s="26">
        <f>SUM(D7:D13)+C14</f>
        <v>128195.12000000001</v>
      </c>
      <c r="F15" s="64">
        <f>SUM(F7:F13)</f>
        <v>0</v>
      </c>
    </row>
    <row r="16" spans="1:6" ht="15" thickBot="1">
      <c r="A16" s="27"/>
      <c r="B16" s="28"/>
      <c r="C16" s="29"/>
      <c r="D16" s="27"/>
      <c r="F16" s="67"/>
    </row>
    <row r="17" spans="1:6" ht="39" thickBot="1">
      <c r="A17" s="45" t="s">
        <v>11</v>
      </c>
      <c r="B17" s="46" t="s">
        <v>12</v>
      </c>
      <c r="C17" s="46" t="s">
        <v>13</v>
      </c>
      <c r="D17" s="47" t="s">
        <v>14</v>
      </c>
      <c r="F17" s="59" t="s">
        <v>77</v>
      </c>
    </row>
    <row r="18" spans="1:6" ht="15.75">
      <c r="A18" s="6" t="s">
        <v>37</v>
      </c>
      <c r="B18" s="7"/>
      <c r="C18" s="8"/>
      <c r="D18" s="9"/>
      <c r="F18" s="60"/>
    </row>
    <row r="19" spans="1:6" ht="15.75">
      <c r="A19" s="10">
        <f>A13</f>
        <v>32048780</v>
      </c>
      <c r="B19" s="11">
        <v>5.5E-2</v>
      </c>
      <c r="C19" s="12">
        <f>(A19*B19)/365*120</f>
        <v>579512.18630136992</v>
      </c>
      <c r="D19" s="13">
        <f>C19+A96</f>
        <v>1914877.1863013699</v>
      </c>
      <c r="F19" s="61">
        <f>$A$96</f>
        <v>1335365</v>
      </c>
    </row>
    <row r="20" spans="1:6" ht="15.75">
      <c r="A20" s="10" t="s">
        <v>38</v>
      </c>
      <c r="B20" s="11"/>
      <c r="C20" s="12"/>
      <c r="D20" s="13"/>
      <c r="F20" s="61"/>
    </row>
    <row r="21" spans="1:6" ht="15.75">
      <c r="A21" s="10">
        <f>A19-A96</f>
        <v>30713415</v>
      </c>
      <c r="B21" s="11">
        <v>5.5E-2</v>
      </c>
      <c r="C21" s="12">
        <f>(A21*B21)/365*91</f>
        <v>421152.44404109585</v>
      </c>
      <c r="D21" s="13">
        <f>C21+A96</f>
        <v>1756517.4440410959</v>
      </c>
      <c r="F21" s="61">
        <f>$A$96</f>
        <v>1335365</v>
      </c>
    </row>
    <row r="22" spans="1:6" ht="15.75">
      <c r="A22" s="10" t="s">
        <v>39</v>
      </c>
      <c r="B22" s="11"/>
      <c r="C22" s="12"/>
      <c r="D22" s="13"/>
      <c r="F22" s="61"/>
    </row>
    <row r="23" spans="1:6" ht="15.75">
      <c r="A23" s="10">
        <f>A21-A96</f>
        <v>29378050</v>
      </c>
      <c r="B23" s="11">
        <v>5.5E-2</v>
      </c>
      <c r="C23" s="12">
        <f>(A23*B23)/365*92</f>
        <v>407268.30958904105</v>
      </c>
      <c r="D23" s="13">
        <f>C23+A96</f>
        <v>1742633.3095890409</v>
      </c>
      <c r="F23" s="61">
        <f>$A$96</f>
        <v>1335365</v>
      </c>
    </row>
    <row r="24" spans="1:6" ht="15.75">
      <c r="A24" s="10" t="s">
        <v>40</v>
      </c>
      <c r="B24" s="11"/>
      <c r="C24" s="12"/>
      <c r="D24" s="13"/>
      <c r="F24" s="61"/>
    </row>
    <row r="25" spans="1:6" ht="16.5" thickBot="1">
      <c r="A25" s="10">
        <f>A23-A96</f>
        <v>28042685</v>
      </c>
      <c r="B25" s="11">
        <v>5.5E-2</v>
      </c>
      <c r="C25" s="14">
        <f>(A25*B25)/365*92</f>
        <v>388756.12630136986</v>
      </c>
      <c r="D25" s="13">
        <f>C25+A96</f>
        <v>1724121.1263013699</v>
      </c>
      <c r="F25" s="61">
        <f>$A$96</f>
        <v>1335365</v>
      </c>
    </row>
    <row r="26" spans="1:6" ht="15.75">
      <c r="A26" s="15"/>
      <c r="B26" s="16" t="s">
        <v>19</v>
      </c>
      <c r="C26" s="17">
        <f>SUM(C19:C25)</f>
        <v>1796689.0662328766</v>
      </c>
      <c r="D26" s="18"/>
      <c r="F26" s="62"/>
    </row>
    <row r="27" spans="1:6" ht="33.75" thickBot="1">
      <c r="A27" s="23"/>
      <c r="B27" s="24"/>
      <c r="C27" s="25" t="s">
        <v>41</v>
      </c>
      <c r="D27" s="26">
        <f>SUM(D19:D25)</f>
        <v>7138149.0662328759</v>
      </c>
      <c r="F27" s="64">
        <f>SUM(F19:F25)</f>
        <v>5341460</v>
      </c>
    </row>
    <row r="28" spans="1:6" ht="17.25" thickBot="1">
      <c r="A28" s="41"/>
      <c r="B28" s="42"/>
      <c r="C28" s="43"/>
      <c r="D28" s="44"/>
      <c r="F28" s="37"/>
    </row>
    <row r="29" spans="1:6" ht="39" thickBot="1">
      <c r="A29" s="45" t="s">
        <v>11</v>
      </c>
      <c r="B29" s="46" t="s">
        <v>12</v>
      </c>
      <c r="C29" s="46" t="s">
        <v>13</v>
      </c>
      <c r="D29" s="47" t="s">
        <v>14</v>
      </c>
      <c r="F29" s="59" t="s">
        <v>77</v>
      </c>
    </row>
    <row r="30" spans="1:6" ht="15.75">
      <c r="A30" s="6" t="s">
        <v>42</v>
      </c>
      <c r="B30" s="7"/>
      <c r="C30" s="8"/>
      <c r="D30" s="9"/>
      <c r="F30" s="60"/>
    </row>
    <row r="31" spans="1:6" ht="15.75">
      <c r="A31" s="10">
        <f>A25-A96</f>
        <v>26707320</v>
      </c>
      <c r="B31" s="11">
        <v>5.5E-2</v>
      </c>
      <c r="C31" s="12">
        <f>(A31*B31)/365*91</f>
        <v>366219.55232876714</v>
      </c>
      <c r="D31" s="13">
        <f>C31+A96</f>
        <v>1701584.5523287673</v>
      </c>
      <c r="F31" s="61">
        <f>$A$96</f>
        <v>1335365</v>
      </c>
    </row>
    <row r="32" spans="1:6" ht="15.75">
      <c r="A32" s="10" t="s">
        <v>43</v>
      </c>
      <c r="B32" s="11"/>
      <c r="C32" s="12"/>
      <c r="D32" s="13"/>
      <c r="F32" s="61"/>
    </row>
    <row r="33" spans="1:6" ht="15.75">
      <c r="A33" s="10">
        <f>A31-A96</f>
        <v>25371955</v>
      </c>
      <c r="B33" s="11">
        <v>5.5E-2</v>
      </c>
      <c r="C33" s="12">
        <f>(A33*B33)/365*91</f>
        <v>347908.58842465753</v>
      </c>
      <c r="D33" s="13">
        <f>C33+A96</f>
        <v>1683273.5884246575</v>
      </c>
      <c r="F33" s="61">
        <f>$A$96</f>
        <v>1335365</v>
      </c>
    </row>
    <row r="34" spans="1:6" ht="15.75">
      <c r="A34" s="10" t="s">
        <v>44</v>
      </c>
      <c r="B34" s="11"/>
      <c r="C34" s="12"/>
      <c r="D34" s="13"/>
      <c r="F34" s="61"/>
    </row>
    <row r="35" spans="1:6" ht="15.75">
      <c r="A35" s="10">
        <f>A33-A96</f>
        <v>24036590</v>
      </c>
      <c r="B35" s="11">
        <v>5.5E-2</v>
      </c>
      <c r="C35" s="12">
        <f>(A35*B35)/365*92</f>
        <v>333219.57643835619</v>
      </c>
      <c r="D35" s="13">
        <f>C35+A96</f>
        <v>1668584.5764383562</v>
      </c>
      <c r="F35" s="61">
        <f>$A$96</f>
        <v>1335365</v>
      </c>
    </row>
    <row r="36" spans="1:6" ht="15.75">
      <c r="A36" s="10" t="s">
        <v>45</v>
      </c>
      <c r="B36" s="11"/>
      <c r="C36" s="12"/>
      <c r="D36" s="13"/>
      <c r="F36" s="61"/>
    </row>
    <row r="37" spans="1:6" ht="16.5" thickBot="1">
      <c r="A37" s="10">
        <f>A35-A96</f>
        <v>22701225</v>
      </c>
      <c r="B37" s="11">
        <v>5.5E-2</v>
      </c>
      <c r="C37" s="14">
        <f>(A37*B37)/365*92</f>
        <v>314707.39315068489</v>
      </c>
      <c r="D37" s="13">
        <f>C37+A96</f>
        <v>1650072.3931506849</v>
      </c>
      <c r="F37" s="61">
        <f>$A$96</f>
        <v>1335365</v>
      </c>
    </row>
    <row r="38" spans="1:6" ht="15.75">
      <c r="A38" s="15"/>
      <c r="B38" s="16" t="s">
        <v>19</v>
      </c>
      <c r="C38" s="17">
        <f>SUM(C31:C37)</f>
        <v>1362055.1103424658</v>
      </c>
      <c r="D38" s="18"/>
      <c r="F38" s="62"/>
    </row>
    <row r="39" spans="1:6" ht="33.75" thickBot="1">
      <c r="A39" s="23"/>
      <c r="B39" s="24"/>
      <c r="C39" s="25" t="s">
        <v>46</v>
      </c>
      <c r="D39" s="26">
        <f>SUM(D31:D37)</f>
        <v>6703515.1103424653</v>
      </c>
      <c r="F39" s="64">
        <f>SUM(F31:F37)</f>
        <v>5341460</v>
      </c>
    </row>
    <row r="40" spans="1:6" ht="17.25" thickBot="1">
      <c r="A40" s="41"/>
      <c r="B40" s="42"/>
      <c r="C40" s="43"/>
      <c r="D40" s="44"/>
      <c r="F40" s="37"/>
    </row>
    <row r="41" spans="1:6" ht="39" thickBot="1">
      <c r="A41" s="45" t="s">
        <v>11</v>
      </c>
      <c r="B41" s="46" t="s">
        <v>12</v>
      </c>
      <c r="C41" s="46" t="s">
        <v>13</v>
      </c>
      <c r="D41" s="47" t="s">
        <v>14</v>
      </c>
      <c r="F41" s="59" t="s">
        <v>77</v>
      </c>
    </row>
    <row r="42" spans="1:6" ht="15.75">
      <c r="A42" s="6" t="s">
        <v>47</v>
      </c>
      <c r="B42" s="7"/>
      <c r="C42" s="8"/>
      <c r="D42" s="9"/>
      <c r="F42" s="60"/>
    </row>
    <row r="43" spans="1:6" ht="15.75">
      <c r="A43" s="10">
        <f>A37-A96</f>
        <v>21365860</v>
      </c>
      <c r="B43" s="11">
        <v>5.2999999999999999E-2</v>
      </c>
      <c r="C43" s="12">
        <f>(A43*B43)/365*90</f>
        <v>279219.59506849316</v>
      </c>
      <c r="D43" s="13">
        <f>C43+A96</f>
        <v>1614584.5950684932</v>
      </c>
      <c r="F43" s="61">
        <f>$A$96</f>
        <v>1335365</v>
      </c>
    </row>
    <row r="44" spans="1:6" ht="15.75">
      <c r="A44" s="10" t="s">
        <v>48</v>
      </c>
      <c r="B44" s="11"/>
      <c r="C44" s="12"/>
      <c r="D44" s="13"/>
      <c r="F44" s="61"/>
    </row>
    <row r="45" spans="1:6" ht="15.75">
      <c r="A45" s="10">
        <f>A43-A96</f>
        <v>20030495</v>
      </c>
      <c r="B45" s="11">
        <v>5.2999999999999999E-2</v>
      </c>
      <c r="C45" s="12">
        <f>(A45*B45)/365*91</f>
        <v>264676.92434246576</v>
      </c>
      <c r="D45" s="13">
        <f>C45+A96</f>
        <v>1600041.9243424658</v>
      </c>
      <c r="F45" s="61">
        <f>$A$96</f>
        <v>1335365</v>
      </c>
    </row>
    <row r="46" spans="1:6" ht="15.75">
      <c r="A46" s="10" t="s">
        <v>49</v>
      </c>
      <c r="B46" s="11"/>
      <c r="C46" s="12"/>
      <c r="D46" s="13"/>
      <c r="F46" s="61"/>
    </row>
    <row r="47" spans="1:6" ht="15.75">
      <c r="A47" s="10">
        <f>A45-A96</f>
        <v>18695130</v>
      </c>
      <c r="B47" s="11">
        <v>5.2999999999999999E-2</v>
      </c>
      <c r="C47" s="12">
        <f>(A47*B47)/365*92</f>
        <v>249746.44898630137</v>
      </c>
      <c r="D47" s="13">
        <f>C47+A96</f>
        <v>1585111.4489863014</v>
      </c>
      <c r="F47" s="61">
        <f>$A$96</f>
        <v>1335365</v>
      </c>
    </row>
    <row r="48" spans="1:6" ht="15.75">
      <c r="A48" s="10" t="s">
        <v>50</v>
      </c>
      <c r="B48" s="11"/>
      <c r="C48" s="12"/>
      <c r="D48" s="13"/>
      <c r="F48" s="61"/>
    </row>
    <row r="49" spans="1:6" ht="16.5" thickBot="1">
      <c r="A49" s="10">
        <f>A47-A96</f>
        <v>17359765</v>
      </c>
      <c r="B49" s="11">
        <v>5.2999999999999999E-2</v>
      </c>
      <c r="C49" s="14">
        <f>(A49*B49)/365*92</f>
        <v>231907.43599999999</v>
      </c>
      <c r="D49" s="13">
        <f>C49+A96</f>
        <v>1567272.436</v>
      </c>
      <c r="F49" s="61">
        <f>$A$96</f>
        <v>1335365</v>
      </c>
    </row>
    <row r="50" spans="1:6" ht="15.75">
      <c r="A50" s="15"/>
      <c r="B50" s="16" t="s">
        <v>19</v>
      </c>
      <c r="C50" s="17">
        <f>SUM(C43:C49)</f>
        <v>1025550.4043972604</v>
      </c>
      <c r="D50" s="18"/>
      <c r="F50" s="62"/>
    </row>
    <row r="51" spans="1:6" ht="33.75" thickBot="1">
      <c r="A51" s="23"/>
      <c r="B51" s="24"/>
      <c r="C51" s="25" t="s">
        <v>51</v>
      </c>
      <c r="D51" s="26">
        <f>SUM(D43:D49)</f>
        <v>6367010.4043972604</v>
      </c>
      <c r="F51" s="64">
        <f>SUM(F43:F49)</f>
        <v>5341460</v>
      </c>
    </row>
    <row r="52" spans="1:6" ht="17.25" thickBot="1">
      <c r="A52" s="41"/>
      <c r="B52" s="42"/>
      <c r="C52" s="43"/>
      <c r="D52" s="44"/>
      <c r="F52" s="37"/>
    </row>
    <row r="53" spans="1:6" ht="39" thickBot="1">
      <c r="A53" s="45" t="s">
        <v>11</v>
      </c>
      <c r="B53" s="46" t="s">
        <v>12</v>
      </c>
      <c r="C53" s="46" t="s">
        <v>13</v>
      </c>
      <c r="D53" s="47" t="s">
        <v>14</v>
      </c>
      <c r="F53" s="59" t="s">
        <v>77</v>
      </c>
    </row>
    <row r="54" spans="1:6" ht="15.75">
      <c r="A54" s="6" t="s">
        <v>52</v>
      </c>
      <c r="B54" s="7"/>
      <c r="C54" s="8"/>
      <c r="D54" s="9"/>
      <c r="F54" s="60"/>
    </row>
    <row r="55" spans="1:6" ht="15.75">
      <c r="A55" s="10">
        <f>A49-A96</f>
        <v>16024400</v>
      </c>
      <c r="B55" s="11">
        <v>5.5E-2</v>
      </c>
      <c r="C55" s="12">
        <f>(A55*B55)/365*90</f>
        <v>217317.20547945204</v>
      </c>
      <c r="D55" s="13">
        <f>C55+A96</f>
        <v>1552682.2054794519</v>
      </c>
      <c r="F55" s="61">
        <f>$A$96</f>
        <v>1335365</v>
      </c>
    </row>
    <row r="56" spans="1:6" ht="15.75">
      <c r="A56" s="10" t="s">
        <v>53</v>
      </c>
      <c r="B56" s="11"/>
      <c r="C56" s="12"/>
      <c r="D56" s="13"/>
      <c r="F56" s="61"/>
    </row>
    <row r="57" spans="1:6" ht="15.75">
      <c r="A57" s="10">
        <f>A55-A96</f>
        <v>14689035</v>
      </c>
      <c r="B57" s="11">
        <v>5.5E-2</v>
      </c>
      <c r="C57" s="12">
        <f>(A57*B57)/365*91</f>
        <v>201420.87719178083</v>
      </c>
      <c r="D57" s="13">
        <f>C57+A96</f>
        <v>1536785.8771917808</v>
      </c>
      <c r="F57" s="61">
        <f>$A$96</f>
        <v>1335365</v>
      </c>
    </row>
    <row r="58" spans="1:6" ht="15.75">
      <c r="A58" s="10" t="s">
        <v>54</v>
      </c>
      <c r="B58" s="11"/>
      <c r="C58" s="12"/>
      <c r="D58" s="13"/>
      <c r="F58" s="61"/>
    </row>
    <row r="59" spans="1:6" ht="15.75">
      <c r="A59" s="10">
        <f>A57-A96</f>
        <v>13353670</v>
      </c>
      <c r="B59" s="11">
        <v>5.5E-2</v>
      </c>
      <c r="C59" s="12">
        <f>(A59*B59)/365*92</f>
        <v>185122.1101369863</v>
      </c>
      <c r="D59" s="13">
        <f>C59+A96</f>
        <v>1520487.1101369862</v>
      </c>
      <c r="F59" s="61">
        <f>$A$96</f>
        <v>1335365</v>
      </c>
    </row>
    <row r="60" spans="1:6" ht="15.75">
      <c r="A60" s="10" t="s">
        <v>55</v>
      </c>
      <c r="B60" s="11"/>
      <c r="C60" s="12"/>
      <c r="D60" s="13"/>
      <c r="F60" s="61"/>
    </row>
    <row r="61" spans="1:6" ht="16.5" thickBot="1">
      <c r="A61" s="10">
        <f>A59-A96</f>
        <v>12018305</v>
      </c>
      <c r="B61" s="11">
        <v>5.5E-2</v>
      </c>
      <c r="C61" s="14">
        <f>(A61*B61)/365*92</f>
        <v>166609.92684931506</v>
      </c>
      <c r="D61" s="13">
        <f>C61+A96</f>
        <v>1501974.9268493149</v>
      </c>
      <c r="F61" s="61">
        <f>$A$96</f>
        <v>1335365</v>
      </c>
    </row>
    <row r="62" spans="1:6" ht="15.75">
      <c r="A62" s="15"/>
      <c r="B62" s="16" t="s">
        <v>19</v>
      </c>
      <c r="C62" s="17">
        <f>SUM(C55:C61)</f>
        <v>770470.11965753429</v>
      </c>
      <c r="D62" s="18"/>
      <c r="F62" s="62"/>
    </row>
    <row r="63" spans="1:6" ht="33.75" thickBot="1">
      <c r="A63" s="23"/>
      <c r="B63" s="24"/>
      <c r="C63" s="25" t="s">
        <v>56</v>
      </c>
      <c r="D63" s="26">
        <f>SUM(D55:D61)</f>
        <v>6111930.1196575332</v>
      </c>
      <c r="F63" s="64">
        <f>SUM(F55:F61)</f>
        <v>5341460</v>
      </c>
    </row>
    <row r="64" spans="1:6" ht="17.25" thickBot="1">
      <c r="A64" s="41"/>
      <c r="B64" s="42"/>
      <c r="C64" s="43"/>
      <c r="D64" s="44"/>
      <c r="F64" s="37"/>
    </row>
    <row r="65" spans="1:6" ht="39" thickBot="1">
      <c r="A65" s="45" t="s">
        <v>11</v>
      </c>
      <c r="B65" s="46" t="s">
        <v>12</v>
      </c>
      <c r="C65" s="46" t="s">
        <v>13</v>
      </c>
      <c r="D65" s="47" t="s">
        <v>14</v>
      </c>
      <c r="F65" s="59" t="s">
        <v>77</v>
      </c>
    </row>
    <row r="66" spans="1:6" ht="15.75">
      <c r="A66" s="6" t="s">
        <v>57</v>
      </c>
      <c r="B66" s="7"/>
      <c r="C66" s="8"/>
      <c r="D66" s="9"/>
      <c r="F66" s="60"/>
    </row>
    <row r="67" spans="1:6" ht="15.75">
      <c r="A67" s="10">
        <f>A61-A96</f>
        <v>10682940</v>
      </c>
      <c r="B67" s="11">
        <v>5.2999999999999999E-2</v>
      </c>
      <c r="C67" s="12">
        <f>(A67*B67)/365*90</f>
        <v>139609.92821917805</v>
      </c>
      <c r="D67" s="13">
        <f>C67+A96</f>
        <v>1474974.928219178</v>
      </c>
      <c r="F67" s="61">
        <f>$A$96</f>
        <v>1335365</v>
      </c>
    </row>
    <row r="68" spans="1:6" ht="15.75">
      <c r="A68" s="10" t="s">
        <v>58</v>
      </c>
      <c r="B68" s="11"/>
      <c r="C68" s="12"/>
      <c r="D68" s="13"/>
      <c r="F68" s="61"/>
    </row>
    <row r="69" spans="1:6" ht="15.75">
      <c r="A69" s="10">
        <f>A67-A96</f>
        <v>9347575</v>
      </c>
      <c r="B69" s="11">
        <v>5.2999999999999999E-2</v>
      </c>
      <c r="C69" s="12">
        <f>(A69*B69)/365*91</f>
        <v>123516.03897260274</v>
      </c>
      <c r="D69" s="13">
        <f>C69+A96</f>
        <v>1458881.0389726027</v>
      </c>
      <c r="F69" s="61">
        <f>$A$96</f>
        <v>1335365</v>
      </c>
    </row>
    <row r="70" spans="1:6" ht="15.75">
      <c r="A70" s="10" t="s">
        <v>59</v>
      </c>
      <c r="B70" s="11"/>
      <c r="C70" s="12"/>
      <c r="D70" s="13"/>
      <c r="F70" s="61"/>
    </row>
    <row r="71" spans="1:6" ht="15.75">
      <c r="A71" s="10">
        <f>A69-A96</f>
        <v>8012210</v>
      </c>
      <c r="B71" s="11">
        <v>5.2999999999999999E-2</v>
      </c>
      <c r="C71" s="12">
        <f>(A71*B71)/365*92</f>
        <v>107034.34509589041</v>
      </c>
      <c r="D71" s="13">
        <f>C71+A96</f>
        <v>1442399.3450958903</v>
      </c>
      <c r="F71" s="61">
        <f>$A$96</f>
        <v>1335365</v>
      </c>
    </row>
    <row r="72" spans="1:6" ht="15.75">
      <c r="A72" s="10" t="s">
        <v>60</v>
      </c>
      <c r="B72" s="11"/>
      <c r="C72" s="12"/>
      <c r="D72" s="13"/>
      <c r="F72" s="61"/>
    </row>
    <row r="73" spans="1:6" ht="16.5" thickBot="1">
      <c r="A73" s="10">
        <f>A71-A96</f>
        <v>6676845</v>
      </c>
      <c r="B73" s="11">
        <v>5.2999999999999999E-2</v>
      </c>
      <c r="C73" s="14">
        <f>(A73*B73)/365*92</f>
        <v>89195.332109589042</v>
      </c>
      <c r="D73" s="13">
        <f>C73+A96</f>
        <v>1424560.3321095891</v>
      </c>
      <c r="F73" s="61">
        <f>$A$96</f>
        <v>1335365</v>
      </c>
    </row>
    <row r="74" spans="1:6" ht="15.75">
      <c r="A74" s="15"/>
      <c r="B74" s="16" t="s">
        <v>19</v>
      </c>
      <c r="C74" s="17">
        <f>SUM(C67:C73)</f>
        <v>459355.64439726027</v>
      </c>
      <c r="D74" s="18"/>
      <c r="F74" s="62"/>
    </row>
    <row r="75" spans="1:6" ht="33.75" thickBot="1">
      <c r="A75" s="23"/>
      <c r="B75" s="24"/>
      <c r="C75" s="25" t="s">
        <v>61</v>
      </c>
      <c r="D75" s="26">
        <f>SUM(D67:D73)</f>
        <v>5800815.6443972606</v>
      </c>
      <c r="F75" s="64">
        <f>SUM(F67:F73)</f>
        <v>5341460</v>
      </c>
    </row>
    <row r="76" spans="1:6" ht="17.25" thickBot="1">
      <c r="A76" s="41"/>
      <c r="B76" s="42"/>
      <c r="C76" s="43"/>
      <c r="D76" s="44"/>
      <c r="F76" s="37"/>
    </row>
    <row r="77" spans="1:6" ht="39" thickBot="1">
      <c r="A77" s="45" t="s">
        <v>11</v>
      </c>
      <c r="B77" s="46" t="s">
        <v>12</v>
      </c>
      <c r="C77" s="46" t="s">
        <v>13</v>
      </c>
      <c r="D77" s="47" t="s">
        <v>14</v>
      </c>
      <c r="F77" s="59" t="s">
        <v>77</v>
      </c>
    </row>
    <row r="78" spans="1:6" ht="15.75">
      <c r="A78" s="6" t="s">
        <v>62</v>
      </c>
      <c r="B78" s="7"/>
      <c r="C78" s="8"/>
      <c r="D78" s="9"/>
      <c r="F78" s="60"/>
    </row>
    <row r="79" spans="1:6" ht="15.75">
      <c r="A79" s="10">
        <f>A73-A96</f>
        <v>5341480</v>
      </c>
      <c r="B79" s="11">
        <v>0.05</v>
      </c>
      <c r="C79" s="12">
        <f>(A79*B79)/365*91</f>
        <v>66585.572602739732</v>
      </c>
      <c r="D79" s="13">
        <f>C79+A96</f>
        <v>1401950.5726027398</v>
      </c>
      <c r="F79" s="61">
        <f>$A$96</f>
        <v>1335365</v>
      </c>
    </row>
    <row r="80" spans="1:6" ht="15.75">
      <c r="A80" s="10" t="s">
        <v>63</v>
      </c>
      <c r="B80" s="11"/>
      <c r="C80" s="12"/>
      <c r="D80" s="13"/>
      <c r="F80" s="61"/>
    </row>
    <row r="81" spans="1:6" ht="15.75">
      <c r="A81" s="10">
        <f>A79-A96</f>
        <v>4006115</v>
      </c>
      <c r="B81" s="11">
        <v>0.05</v>
      </c>
      <c r="C81" s="12">
        <f>(A81*B81)/365*91</f>
        <v>49939.241780821918</v>
      </c>
      <c r="D81" s="13">
        <f>C81+A96</f>
        <v>1385304.2417808219</v>
      </c>
      <c r="F81" s="61">
        <f>$A$96</f>
        <v>1335365</v>
      </c>
    </row>
    <row r="82" spans="1:6" ht="15.75">
      <c r="A82" s="10" t="s">
        <v>64</v>
      </c>
      <c r="B82" s="11"/>
      <c r="C82" s="12"/>
      <c r="D82" s="13"/>
      <c r="F82" s="61"/>
    </row>
    <row r="83" spans="1:6" ht="15.75">
      <c r="A83" s="10">
        <f>A81-A96</f>
        <v>2670750</v>
      </c>
      <c r="B83" s="11">
        <v>0.05</v>
      </c>
      <c r="C83" s="12">
        <f>(A83*B83)/365*92</f>
        <v>33658.767123287667</v>
      </c>
      <c r="D83" s="13">
        <f>C83+A96</f>
        <v>1369023.7671232878</v>
      </c>
      <c r="F83" s="61">
        <f>$A$96</f>
        <v>1335365</v>
      </c>
    </row>
    <row r="84" spans="1:6" ht="15.75">
      <c r="A84" s="10" t="s">
        <v>65</v>
      </c>
      <c r="B84" s="11"/>
      <c r="C84" s="12"/>
      <c r="D84" s="13"/>
      <c r="F84" s="61"/>
    </row>
    <row r="85" spans="1:6" ht="16.5" thickBot="1">
      <c r="A85" s="10">
        <f>A83-A96</f>
        <v>1335385</v>
      </c>
      <c r="B85" s="11">
        <v>0.05</v>
      </c>
      <c r="C85" s="14">
        <f>(A85*B85)/365*92</f>
        <v>16829.509589041096</v>
      </c>
      <c r="D85" s="13">
        <f>C85+A97</f>
        <v>1352214.5095890411</v>
      </c>
      <c r="F85" s="61">
        <f>$A$97</f>
        <v>1335385</v>
      </c>
    </row>
    <row r="86" spans="1:6" ht="15.75">
      <c r="A86" s="15"/>
      <c r="B86" s="16" t="s">
        <v>19</v>
      </c>
      <c r="C86" s="17">
        <f>SUM(C79:C85)</f>
        <v>167013.09109589041</v>
      </c>
      <c r="D86" s="18"/>
      <c r="F86" s="62"/>
    </row>
    <row r="87" spans="1:6" ht="33.75" thickBot="1">
      <c r="A87" s="23"/>
      <c r="B87" s="24"/>
      <c r="C87" s="25" t="s">
        <v>66</v>
      </c>
      <c r="D87" s="26">
        <f>SUM(D79:D85)</f>
        <v>5508493.0910958908</v>
      </c>
      <c r="F87" s="64">
        <f>SUM(F79:F85)</f>
        <v>5341480</v>
      </c>
    </row>
    <row r="88" spans="1:6" ht="16.5">
      <c r="A88" s="41"/>
      <c r="B88" s="42"/>
      <c r="C88" s="43"/>
      <c r="D88" s="44"/>
      <c r="F88" s="68"/>
    </row>
    <row r="89" spans="1:6" ht="16.5">
      <c r="A89" s="41"/>
      <c r="B89" s="42"/>
      <c r="C89" s="43"/>
      <c r="D89" s="44"/>
    </row>
    <row r="90" spans="1:6" ht="18">
      <c r="A90" s="428" t="s">
        <v>67</v>
      </c>
      <c r="B90" s="428"/>
      <c r="C90" s="428"/>
      <c r="D90" s="48">
        <f>SUM(D92:D94)</f>
        <v>37886303.676123284</v>
      </c>
      <c r="F90" s="375">
        <f>SUM(F15,F27,F39,F51,F63,F75,F87)</f>
        <v>32048780</v>
      </c>
    </row>
    <row r="91" spans="1:6" ht="16.5">
      <c r="A91" s="429" t="s">
        <v>68</v>
      </c>
      <c r="B91" s="429"/>
      <c r="C91" s="429"/>
      <c r="D91" s="49"/>
    </row>
    <row r="92" spans="1:6">
      <c r="A92" s="425" t="s">
        <v>69</v>
      </c>
      <c r="B92" s="425"/>
      <c r="C92" s="425"/>
      <c r="D92" s="50">
        <f>A96*23+A97</f>
        <v>32048780</v>
      </c>
    </row>
    <row r="93" spans="1:6">
      <c r="A93" s="425" t="s">
        <v>70</v>
      </c>
      <c r="B93" s="425"/>
      <c r="C93" s="425"/>
      <c r="D93" s="50">
        <f>SUM(C14,C26,C38,C50,C62,C74,C86)</f>
        <v>5709328.5561232883</v>
      </c>
    </row>
    <row r="94" spans="1:6">
      <c r="A94" s="425" t="s">
        <v>71</v>
      </c>
      <c r="B94" s="425"/>
      <c r="C94" s="425"/>
      <c r="D94" s="50">
        <f>C14</f>
        <v>128195.12000000001</v>
      </c>
    </row>
    <row r="95" spans="1:6">
      <c r="A95" s="51" t="s">
        <v>72</v>
      </c>
      <c r="B95" s="52"/>
    </row>
    <row r="96" spans="1:6" ht="15.75">
      <c r="A96" s="372">
        <v>1335365</v>
      </c>
      <c r="B96" s="381" t="s">
        <v>315</v>
      </c>
    </row>
    <row r="97" spans="1:4" ht="15.75">
      <c r="A97" s="382">
        <v>1335385</v>
      </c>
      <c r="B97" s="383" t="s">
        <v>145</v>
      </c>
      <c r="D97" s="29">
        <f>SUM(D93:D94)</f>
        <v>5837523.6761232885</v>
      </c>
    </row>
    <row r="99" spans="1:4" ht="15.75">
      <c r="A99" t="s">
        <v>73</v>
      </c>
      <c r="B99" s="54">
        <v>3.8600000000000002E-2</v>
      </c>
    </row>
    <row r="100" spans="1:4">
      <c r="A100" s="52" t="s">
        <v>74</v>
      </c>
      <c r="B100" s="55">
        <v>1.6578999999999999</v>
      </c>
    </row>
    <row r="101" spans="1:4">
      <c r="A101" s="52" t="s">
        <v>75</v>
      </c>
    </row>
    <row r="102" spans="1:4">
      <c r="B102" s="115">
        <f>3.86*165.79%</f>
        <v>6.3994939999999998</v>
      </c>
    </row>
  </sheetData>
  <mergeCells count="7">
    <mergeCell ref="A94:C94"/>
    <mergeCell ref="A2:F2"/>
    <mergeCell ref="A3:D3"/>
    <mergeCell ref="A90:C90"/>
    <mergeCell ref="A91:C91"/>
    <mergeCell ref="A92:C92"/>
    <mergeCell ref="A93:C93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2"/>
  <sheetViews>
    <sheetView topLeftCell="A40" zoomScale="90" zoomScaleNormal="90" workbookViewId="0">
      <selection activeCell="F49" sqref="F49"/>
    </sheetView>
  </sheetViews>
  <sheetFormatPr defaultRowHeight="15"/>
  <cols>
    <col min="1" max="1" width="5" customWidth="1"/>
    <col min="2" max="2" width="75.375" customWidth="1"/>
    <col min="3" max="3" width="5" customWidth="1"/>
    <col min="4" max="4" width="21.25" customWidth="1"/>
    <col min="5" max="5" width="17.75" customWidth="1"/>
    <col min="6" max="6" width="17.5" customWidth="1"/>
    <col min="7" max="7" width="23.75" style="118" customWidth="1"/>
    <col min="8" max="8" width="13.5" customWidth="1"/>
    <col min="10" max="10" width="13.5" bestFit="1" customWidth="1"/>
  </cols>
  <sheetData>
    <row r="1" spans="1:9" ht="22.5" customHeight="1">
      <c r="A1" s="434" t="s">
        <v>150</v>
      </c>
      <c r="B1" s="434"/>
      <c r="C1" s="434"/>
      <c r="D1" s="434"/>
      <c r="E1" s="434"/>
      <c r="F1" s="434"/>
    </row>
    <row r="2" spans="1:9" ht="28.5">
      <c r="A2" s="368" t="s">
        <v>0</v>
      </c>
      <c r="B2" s="368" t="s">
        <v>6</v>
      </c>
      <c r="C2" s="368" t="s">
        <v>7</v>
      </c>
      <c r="D2" s="369" t="s">
        <v>135</v>
      </c>
      <c r="E2" s="369" t="s">
        <v>133</v>
      </c>
      <c r="F2" s="369" t="s">
        <v>132</v>
      </c>
      <c r="G2" s="363" t="s">
        <v>122</v>
      </c>
      <c r="H2" s="1"/>
    </row>
    <row r="3" spans="1:9" ht="23.25" customHeight="1">
      <c r="A3" s="430" t="s">
        <v>169</v>
      </c>
      <c r="B3" s="430"/>
      <c r="C3" s="324"/>
      <c r="D3" s="325">
        <v>40000000</v>
      </c>
      <c r="E3" s="325">
        <v>40000000</v>
      </c>
      <c r="F3" s="326">
        <v>39999836</v>
      </c>
      <c r="G3" s="275">
        <f>F3-8000000</f>
        <v>31999836</v>
      </c>
    </row>
    <row r="4" spans="1:9" ht="33" customHeight="1">
      <c r="A4" s="217">
        <v>1</v>
      </c>
      <c r="B4" s="327" t="s">
        <v>171</v>
      </c>
      <c r="C4" s="328">
        <v>926</v>
      </c>
      <c r="D4" s="329">
        <v>12000000</v>
      </c>
      <c r="E4" s="329">
        <v>12000000</v>
      </c>
      <c r="F4" s="329">
        <v>12000000</v>
      </c>
      <c r="G4" s="275"/>
    </row>
    <row r="5" spans="1:9" ht="16.5" customHeight="1">
      <c r="A5" s="217">
        <v>2</v>
      </c>
      <c r="B5" s="327" t="s">
        <v>170</v>
      </c>
      <c r="C5" s="328">
        <v>710</v>
      </c>
      <c r="D5" s="329">
        <v>28000000</v>
      </c>
      <c r="E5" s="329">
        <v>28000000</v>
      </c>
      <c r="F5" s="329">
        <v>27999836</v>
      </c>
      <c r="G5" s="275"/>
    </row>
    <row r="6" spans="1:9">
      <c r="A6" s="118"/>
      <c r="B6" s="118"/>
      <c r="C6" s="118"/>
      <c r="D6" s="118"/>
      <c r="E6" s="118"/>
      <c r="F6" s="118"/>
    </row>
    <row r="7" spans="1:9" ht="22.5" customHeight="1">
      <c r="A7" s="431" t="s">
        <v>149</v>
      </c>
      <c r="B7" s="431"/>
      <c r="C7" s="431"/>
      <c r="D7" s="431"/>
      <c r="E7" s="431"/>
      <c r="F7" s="431"/>
    </row>
    <row r="8" spans="1:9">
      <c r="A8" s="161"/>
      <c r="B8" s="330" t="s">
        <v>126</v>
      </c>
      <c r="C8" s="161"/>
      <c r="D8" s="161"/>
      <c r="E8" s="161"/>
      <c r="F8" s="118"/>
    </row>
    <row r="9" spans="1:9" ht="30" customHeight="1">
      <c r="A9" s="368" t="s">
        <v>0</v>
      </c>
      <c r="B9" s="368" t="s">
        <v>6</v>
      </c>
      <c r="C9" s="368" t="s">
        <v>7</v>
      </c>
      <c r="D9" s="369" t="s">
        <v>135</v>
      </c>
      <c r="E9" s="369" t="s">
        <v>133</v>
      </c>
      <c r="F9" s="369" t="s">
        <v>132</v>
      </c>
      <c r="G9" s="363"/>
      <c r="H9" s="1"/>
    </row>
    <row r="10" spans="1:9" ht="30" customHeight="1">
      <c r="A10" s="432" t="s">
        <v>130</v>
      </c>
      <c r="B10" s="433"/>
      <c r="C10" s="323"/>
      <c r="D10" s="331">
        <f>SUM(D11:D18)</f>
        <v>351000000</v>
      </c>
      <c r="E10" s="331">
        <f>SUM(E11:E18)</f>
        <v>308332921</v>
      </c>
      <c r="F10" s="332">
        <f>SUM(F11:F18)</f>
        <v>141774707.77000001</v>
      </c>
      <c r="G10" s="364"/>
    </row>
    <row r="11" spans="1:9" ht="16.5" customHeight="1">
      <c r="A11" s="217">
        <v>1</v>
      </c>
      <c r="B11" s="327" t="s">
        <v>2</v>
      </c>
      <c r="C11" s="328">
        <v>921</v>
      </c>
      <c r="D11" s="329">
        <v>88000000</v>
      </c>
      <c r="E11" s="329">
        <v>12000000</v>
      </c>
      <c r="F11" s="333">
        <v>536930.09</v>
      </c>
      <c r="H11" s="71"/>
      <c r="I11" s="71"/>
    </row>
    <row r="12" spans="1:9" ht="33" customHeight="1">
      <c r="A12" s="217">
        <v>2</v>
      </c>
      <c r="B12" s="327" t="s">
        <v>312</v>
      </c>
      <c r="C12" s="328">
        <v>926</v>
      </c>
      <c r="D12" s="329">
        <v>145200000</v>
      </c>
      <c r="E12" s="329">
        <v>145200000</v>
      </c>
      <c r="F12" s="333">
        <v>88067020.150000006</v>
      </c>
    </row>
    <row r="13" spans="1:9" ht="16.5" customHeight="1">
      <c r="A13" s="217">
        <v>3</v>
      </c>
      <c r="B13" s="327" t="s">
        <v>3</v>
      </c>
      <c r="C13" s="328">
        <v>921</v>
      </c>
      <c r="D13" s="329">
        <v>6632921</v>
      </c>
      <c r="E13" s="329">
        <v>6632921</v>
      </c>
      <c r="F13" s="333">
        <v>282019.46000000002</v>
      </c>
    </row>
    <row r="14" spans="1:9" ht="34.5" customHeight="1">
      <c r="A14" s="217">
        <v>4</v>
      </c>
      <c r="B14" s="334" t="s">
        <v>4</v>
      </c>
      <c r="C14" s="328">
        <v>710</v>
      </c>
      <c r="D14" s="329">
        <v>34000000</v>
      </c>
      <c r="E14" s="329">
        <v>10000000</v>
      </c>
      <c r="F14" s="333">
        <v>10000000</v>
      </c>
    </row>
    <row r="15" spans="1:9" ht="33" customHeight="1">
      <c r="A15" s="217">
        <v>5</v>
      </c>
      <c r="B15" s="334" t="s">
        <v>5</v>
      </c>
      <c r="C15" s="328">
        <v>921</v>
      </c>
      <c r="D15" s="329">
        <v>4065671</v>
      </c>
      <c r="E15" s="329">
        <v>1500000</v>
      </c>
      <c r="F15" s="333">
        <v>0</v>
      </c>
    </row>
    <row r="16" spans="1:9" ht="33" customHeight="1">
      <c r="A16" s="217">
        <v>6</v>
      </c>
      <c r="B16" s="334" t="s">
        <v>270</v>
      </c>
      <c r="C16" s="328">
        <v>921</v>
      </c>
      <c r="D16" s="329">
        <v>3101408</v>
      </c>
      <c r="E16" s="329">
        <v>1000000</v>
      </c>
      <c r="F16" s="333">
        <v>503613.11</v>
      </c>
      <c r="G16" s="365">
        <f>SUM(F11,F13,F14,F15,F16)</f>
        <v>11322562.66</v>
      </c>
    </row>
    <row r="17" spans="1:10" ht="16.5" customHeight="1">
      <c r="A17" s="217">
        <v>7</v>
      </c>
      <c r="B17" s="334" t="s">
        <v>1</v>
      </c>
      <c r="C17" s="328">
        <v>600</v>
      </c>
      <c r="D17" s="329">
        <v>70000000</v>
      </c>
      <c r="E17" s="329">
        <v>70000000</v>
      </c>
      <c r="F17" s="333">
        <v>42385124.960000001</v>
      </c>
    </row>
    <row r="18" spans="1:10" ht="16.5" customHeight="1">
      <c r="A18" s="217">
        <v>8</v>
      </c>
      <c r="B18" s="334" t="s">
        <v>9</v>
      </c>
      <c r="C18" s="328">
        <v>600</v>
      </c>
      <c r="D18" s="329">
        <v>0</v>
      </c>
      <c r="E18" s="329">
        <v>62000000</v>
      </c>
      <c r="F18" s="333">
        <v>0</v>
      </c>
      <c r="G18" s="366" t="s">
        <v>123</v>
      </c>
      <c r="H18" s="116"/>
    </row>
    <row r="19" spans="1:10" ht="14.25" customHeight="1">
      <c r="A19" s="335"/>
      <c r="B19" s="336"/>
      <c r="C19" s="337"/>
      <c r="D19" s="338"/>
      <c r="E19" s="338"/>
      <c r="F19" s="338"/>
      <c r="G19" s="365">
        <f>F10</f>
        <v>141774707.77000001</v>
      </c>
    </row>
    <row r="20" spans="1:10" ht="22.5" hidden="1" customHeight="1">
      <c r="A20" s="118"/>
      <c r="B20" s="118"/>
      <c r="C20" s="339"/>
      <c r="D20" s="340" t="s">
        <v>134</v>
      </c>
      <c r="E20" s="341">
        <f>E10-D10</f>
        <v>-42667079</v>
      </c>
      <c r="F20" s="341">
        <f>F10-E10</f>
        <v>-166558213.22999999</v>
      </c>
    </row>
    <row r="21" spans="1:10" ht="21.75" customHeight="1">
      <c r="A21" s="431" t="s">
        <v>148</v>
      </c>
      <c r="B21" s="431"/>
      <c r="C21" s="431"/>
      <c r="D21" s="431"/>
      <c r="E21" s="431"/>
      <c r="F21" s="431"/>
    </row>
    <row r="22" spans="1:10">
      <c r="A22" s="161"/>
      <c r="B22" s="330" t="s">
        <v>126</v>
      </c>
      <c r="C22" s="161"/>
      <c r="D22" s="161"/>
      <c r="E22" s="161"/>
      <c r="F22" s="118"/>
    </row>
    <row r="23" spans="1:10" ht="31.5">
      <c r="A23" s="368" t="s">
        <v>0</v>
      </c>
      <c r="B23" s="368" t="s">
        <v>6</v>
      </c>
      <c r="C23" s="368" t="s">
        <v>7</v>
      </c>
      <c r="D23" s="369" t="s">
        <v>310</v>
      </c>
      <c r="E23" s="369" t="s">
        <v>133</v>
      </c>
      <c r="F23" s="369" t="s">
        <v>132</v>
      </c>
      <c r="G23" s="366" t="s">
        <v>124</v>
      </c>
      <c r="H23" s="1"/>
    </row>
    <row r="24" spans="1:10" ht="22.5" customHeight="1">
      <c r="A24" s="432" t="s">
        <v>131</v>
      </c>
      <c r="B24" s="433"/>
      <c r="C24" s="328"/>
      <c r="D24" s="325">
        <f>SUM(D25:D31)</f>
        <v>180000000</v>
      </c>
      <c r="E24" s="325">
        <f>SUM(E25:E31)</f>
        <v>356300089</v>
      </c>
      <c r="F24" s="342">
        <f>SUM(F25:F31)</f>
        <v>190963585.63999999</v>
      </c>
      <c r="G24" s="275">
        <f>E24-F24</f>
        <v>165336503.36000001</v>
      </c>
    </row>
    <row r="25" spans="1:10" ht="33.75" customHeight="1">
      <c r="A25" s="343">
        <v>1</v>
      </c>
      <c r="B25" s="344" t="s">
        <v>313</v>
      </c>
      <c r="C25" s="345">
        <v>926</v>
      </c>
      <c r="D25" s="329">
        <f>133873939</f>
        <v>133873939</v>
      </c>
      <c r="E25" s="329">
        <f>133873939+88148089</f>
        <v>222022028</v>
      </c>
      <c r="F25" s="346">
        <v>87229720.879999995</v>
      </c>
      <c r="G25" s="273"/>
    </row>
    <row r="26" spans="1:10" ht="16.5" customHeight="1">
      <c r="A26" s="217">
        <v>2</v>
      </c>
      <c r="B26" s="327" t="s">
        <v>2</v>
      </c>
      <c r="C26" s="328">
        <v>921</v>
      </c>
      <c r="D26" s="329">
        <v>40488341</v>
      </c>
      <c r="E26" s="329">
        <f>40488341-1000000-662163</f>
        <v>38826178</v>
      </c>
      <c r="F26" s="346">
        <v>6089257.1299999999</v>
      </c>
    </row>
    <row r="27" spans="1:10" ht="33" customHeight="1">
      <c r="A27" s="217">
        <v>3</v>
      </c>
      <c r="B27" s="327" t="s">
        <v>164</v>
      </c>
      <c r="C27" s="328">
        <v>921</v>
      </c>
      <c r="D27" s="329">
        <v>0</v>
      </c>
      <c r="E27" s="329">
        <v>1000000</v>
      </c>
      <c r="F27" s="346">
        <v>2068002.94</v>
      </c>
      <c r="G27" s="148" t="s">
        <v>167</v>
      </c>
    </row>
    <row r="28" spans="1:10" ht="33" customHeight="1">
      <c r="A28" s="217">
        <v>4</v>
      </c>
      <c r="B28" s="327" t="s">
        <v>270</v>
      </c>
      <c r="C28" s="328">
        <v>921</v>
      </c>
      <c r="D28" s="329">
        <v>0</v>
      </c>
      <c r="E28" s="329">
        <v>662163</v>
      </c>
      <c r="F28" s="346">
        <v>1873348.93</v>
      </c>
      <c r="G28" s="148" t="s">
        <v>166</v>
      </c>
    </row>
    <row r="29" spans="1:10" ht="16.5" customHeight="1">
      <c r="A29" s="217">
        <v>5</v>
      </c>
      <c r="B29" s="327" t="s">
        <v>165</v>
      </c>
      <c r="C29" s="328">
        <v>921</v>
      </c>
      <c r="D29" s="329">
        <v>5637720</v>
      </c>
      <c r="E29" s="329">
        <v>5637720</v>
      </c>
      <c r="F29" s="346">
        <v>5551255.7599999998</v>
      </c>
    </row>
    <row r="30" spans="1:10" ht="33" customHeight="1">
      <c r="A30" s="217">
        <v>6</v>
      </c>
      <c r="B30" s="327" t="s">
        <v>157</v>
      </c>
      <c r="C30" s="328">
        <v>600</v>
      </c>
      <c r="D30" s="329">
        <v>0</v>
      </c>
      <c r="E30" s="329">
        <v>57152000</v>
      </c>
      <c r="F30" s="346">
        <v>57152000</v>
      </c>
      <c r="G30" s="214">
        <f>F24+F10+F3</f>
        <v>372738129.40999997</v>
      </c>
    </row>
    <row r="31" spans="1:10" ht="120.75" customHeight="1">
      <c r="A31" s="217">
        <v>7</v>
      </c>
      <c r="B31" s="334" t="s">
        <v>168</v>
      </c>
      <c r="C31" s="328">
        <v>600</v>
      </c>
      <c r="D31" s="329">
        <v>0</v>
      </c>
      <c r="E31" s="329">
        <v>31000000</v>
      </c>
      <c r="F31" s="346">
        <v>31000000</v>
      </c>
      <c r="G31" s="214"/>
      <c r="H31" s="53"/>
      <c r="J31" s="53"/>
    </row>
    <row r="32" spans="1:10" ht="15" customHeight="1">
      <c r="A32" s="347"/>
      <c r="B32" s="348"/>
      <c r="C32" s="349"/>
      <c r="D32" s="350"/>
      <c r="E32" s="350"/>
      <c r="F32" s="350"/>
      <c r="G32" s="214"/>
    </row>
    <row r="33" spans="1:7" ht="21.75" customHeight="1">
      <c r="A33" s="431" t="s">
        <v>147</v>
      </c>
      <c r="B33" s="431"/>
      <c r="C33" s="431"/>
      <c r="D33" s="431"/>
      <c r="E33" s="431"/>
      <c r="F33" s="431"/>
    </row>
    <row r="34" spans="1:7">
      <c r="A34" s="161"/>
      <c r="B34" s="330" t="s">
        <v>126</v>
      </c>
      <c r="C34" s="161"/>
      <c r="D34" s="161"/>
      <c r="E34" s="161"/>
      <c r="F34" s="118"/>
    </row>
    <row r="35" spans="1:7" ht="31.5">
      <c r="A35" s="368" t="s">
        <v>0</v>
      </c>
      <c r="B35" s="368" t="s">
        <v>6</v>
      </c>
      <c r="C35" s="368" t="s">
        <v>7</v>
      </c>
      <c r="D35" s="369" t="s">
        <v>311</v>
      </c>
      <c r="E35" s="369" t="s">
        <v>133</v>
      </c>
      <c r="F35" s="369" t="s">
        <v>8</v>
      </c>
    </row>
    <row r="36" spans="1:7" ht="22.5" customHeight="1">
      <c r="A36" s="432" t="s">
        <v>142</v>
      </c>
      <c r="B36" s="433"/>
      <c r="C36" s="328"/>
      <c r="D36" s="325">
        <f>SUM(D37:D43)</f>
        <v>0</v>
      </c>
      <c r="E36" s="325">
        <f>SUM(E37:E43)</f>
        <v>200404026</v>
      </c>
      <c r="F36" s="342">
        <f>SUM(F37:F43)</f>
        <v>200404026</v>
      </c>
      <c r="G36" s="367">
        <f>E36-F36</f>
        <v>0</v>
      </c>
    </row>
    <row r="37" spans="1:7" ht="32.25" customHeight="1">
      <c r="A37" s="217">
        <v>1</v>
      </c>
      <c r="B37" s="327" t="s">
        <v>313</v>
      </c>
      <c r="C37" s="328">
        <v>926</v>
      </c>
      <c r="D37" s="329">
        <v>0</v>
      </c>
      <c r="E37" s="329">
        <f>147022028-76022028</f>
        <v>71000000</v>
      </c>
      <c r="F37" s="351">
        <f t="shared" ref="F37:F43" si="0">E37</f>
        <v>71000000</v>
      </c>
    </row>
    <row r="38" spans="1:7" ht="16.5" customHeight="1">
      <c r="A38" s="217">
        <v>2</v>
      </c>
      <c r="B38" s="327" t="s">
        <v>158</v>
      </c>
      <c r="C38" s="328">
        <v>921</v>
      </c>
      <c r="D38" s="329">
        <v>0</v>
      </c>
      <c r="E38" s="329">
        <f>26151594+17400582-10000000</f>
        <v>33552176</v>
      </c>
      <c r="F38" s="351">
        <f t="shared" si="0"/>
        <v>33552176</v>
      </c>
    </row>
    <row r="39" spans="1:7" ht="33" customHeight="1">
      <c r="A39" s="217">
        <v>3</v>
      </c>
      <c r="B39" s="327" t="s">
        <v>314</v>
      </c>
      <c r="C39" s="328">
        <v>921</v>
      </c>
      <c r="D39" s="329">
        <v>0</v>
      </c>
      <c r="E39" s="329">
        <f>6710587-810587</f>
        <v>5900000</v>
      </c>
      <c r="F39" s="351">
        <f t="shared" si="0"/>
        <v>5900000</v>
      </c>
    </row>
    <row r="40" spans="1:7" ht="16.5" customHeight="1">
      <c r="A40" s="217">
        <v>4</v>
      </c>
      <c r="B40" s="352" t="s">
        <v>165</v>
      </c>
      <c r="C40" s="323">
        <v>600</v>
      </c>
      <c r="D40" s="353">
        <v>0</v>
      </c>
      <c r="E40" s="354">
        <f>11774993-2114359</f>
        <v>9660634</v>
      </c>
      <c r="F40" s="355">
        <f>E40</f>
        <v>9660634</v>
      </c>
    </row>
    <row r="41" spans="1:7" ht="67.5" customHeight="1">
      <c r="A41" s="217">
        <v>5</v>
      </c>
      <c r="B41" s="334" t="s">
        <v>307</v>
      </c>
      <c r="C41" s="323">
        <v>851</v>
      </c>
      <c r="D41" s="329">
        <v>0</v>
      </c>
      <c r="E41" s="329">
        <v>13616090</v>
      </c>
      <c r="F41" s="351">
        <f t="shared" si="0"/>
        <v>13616090</v>
      </c>
    </row>
    <row r="42" spans="1:7" ht="33" customHeight="1">
      <c r="A42" s="217">
        <v>6</v>
      </c>
      <c r="B42" s="352" t="s">
        <v>308</v>
      </c>
      <c r="C42" s="323">
        <v>854</v>
      </c>
      <c r="D42" s="353">
        <v>0</v>
      </c>
      <c r="E42" s="354">
        <v>2130000</v>
      </c>
      <c r="F42" s="355">
        <f t="shared" si="0"/>
        <v>2130000</v>
      </c>
    </row>
    <row r="43" spans="1:7" ht="16.5" customHeight="1">
      <c r="A43" s="217">
        <v>7</v>
      </c>
      <c r="B43" s="352" t="s">
        <v>309</v>
      </c>
      <c r="C43" s="323">
        <v>600</v>
      </c>
      <c r="D43" s="353">
        <v>0</v>
      </c>
      <c r="E43" s="354">
        <f>64545126</f>
        <v>64545126</v>
      </c>
      <c r="F43" s="355">
        <f t="shared" si="0"/>
        <v>64545126</v>
      </c>
    </row>
    <row r="44" spans="1:7">
      <c r="A44" s="347"/>
      <c r="B44" s="356"/>
      <c r="C44" s="357"/>
      <c r="D44" s="358"/>
      <c r="E44" s="359"/>
      <c r="F44" s="359"/>
    </row>
    <row r="45" spans="1:7" ht="21.75" customHeight="1">
      <c r="A45" s="431" t="s">
        <v>152</v>
      </c>
      <c r="B45" s="431"/>
      <c r="C45" s="431"/>
      <c r="D45" s="431"/>
      <c r="E45" s="431"/>
      <c r="F45" s="431"/>
    </row>
    <row r="46" spans="1:7" ht="15" customHeight="1">
      <c r="A46" s="360"/>
      <c r="B46" s="330" t="s">
        <v>126</v>
      </c>
      <c r="C46" s="360"/>
      <c r="D46" s="360"/>
      <c r="E46" s="360"/>
      <c r="F46" s="360"/>
    </row>
    <row r="47" spans="1:7" ht="31.5">
      <c r="A47" s="368" t="s">
        <v>0</v>
      </c>
      <c r="B47" s="368" t="s">
        <v>6</v>
      </c>
      <c r="C47" s="368" t="s">
        <v>7</v>
      </c>
      <c r="D47" s="369" t="s">
        <v>311</v>
      </c>
      <c r="E47" s="369" t="s">
        <v>133</v>
      </c>
      <c r="F47" s="369" t="s">
        <v>8</v>
      </c>
    </row>
    <row r="48" spans="1:7" ht="22.5" customHeight="1">
      <c r="A48" s="430" t="s">
        <v>151</v>
      </c>
      <c r="B48" s="430"/>
      <c r="C48" s="328"/>
      <c r="D48" s="325">
        <f>SUM(D49:D56)</f>
        <v>0</v>
      </c>
      <c r="E48" s="325">
        <f>SUM(E49:E56)</f>
        <v>193052629</v>
      </c>
      <c r="F48" s="325">
        <f>SUM(F49:F56)</f>
        <v>193052629</v>
      </c>
    </row>
    <row r="49" spans="1:6" ht="33" customHeight="1">
      <c r="A49" s="217">
        <v>1</v>
      </c>
      <c r="B49" s="352" t="s">
        <v>146</v>
      </c>
      <c r="C49" s="323">
        <v>600</v>
      </c>
      <c r="D49" s="354">
        <v>0</v>
      </c>
      <c r="E49" s="354">
        <v>15000000</v>
      </c>
      <c r="F49" s="354">
        <f t="shared" ref="F49:F56" si="1">E49</f>
        <v>15000000</v>
      </c>
    </row>
    <row r="50" spans="1:6" ht="16.5" customHeight="1">
      <c r="A50" s="217">
        <v>2</v>
      </c>
      <c r="B50" s="327" t="s">
        <v>2</v>
      </c>
      <c r="C50" s="361">
        <v>921</v>
      </c>
      <c r="D50" s="354">
        <v>0</v>
      </c>
      <c r="E50" s="354">
        <f>1000000+41501472+12396204</f>
        <v>54897676</v>
      </c>
      <c r="F50" s="354">
        <f t="shared" si="1"/>
        <v>54897676</v>
      </c>
    </row>
    <row r="51" spans="1:6" ht="16.5" customHeight="1">
      <c r="A51" s="217">
        <v>3</v>
      </c>
      <c r="B51" s="352" t="s">
        <v>162</v>
      </c>
      <c r="C51" s="323">
        <v>600</v>
      </c>
      <c r="D51" s="354">
        <v>0</v>
      </c>
      <c r="E51" s="354">
        <f>32048780-6250000</f>
        <v>25798780</v>
      </c>
      <c r="F51" s="354">
        <f t="shared" si="1"/>
        <v>25798780</v>
      </c>
    </row>
    <row r="52" spans="1:6" ht="33" customHeight="1">
      <c r="A52" s="217">
        <v>4</v>
      </c>
      <c r="B52" s="352" t="s">
        <v>286</v>
      </c>
      <c r="C52" s="323">
        <v>921</v>
      </c>
      <c r="D52" s="354">
        <v>0</v>
      </c>
      <c r="E52" s="354">
        <v>947525</v>
      </c>
      <c r="F52" s="354">
        <f t="shared" si="1"/>
        <v>947525</v>
      </c>
    </row>
    <row r="53" spans="1:6" ht="16.5" customHeight="1">
      <c r="A53" s="217">
        <v>5</v>
      </c>
      <c r="B53" s="327" t="s">
        <v>165</v>
      </c>
      <c r="C53" s="323">
        <v>921</v>
      </c>
      <c r="D53" s="354">
        <v>0</v>
      </c>
      <c r="E53" s="354">
        <f>2554360+10612975</f>
        <v>13167335</v>
      </c>
      <c r="F53" s="354">
        <f t="shared" si="1"/>
        <v>13167335</v>
      </c>
    </row>
    <row r="54" spans="1:6" ht="33.75" customHeight="1">
      <c r="A54" s="217">
        <v>6</v>
      </c>
      <c r="B54" s="327" t="s">
        <v>313</v>
      </c>
      <c r="C54" s="323">
        <v>926</v>
      </c>
      <c r="D54" s="354">
        <v>0</v>
      </c>
      <c r="E54" s="354">
        <v>79236374</v>
      </c>
      <c r="F54" s="354">
        <f t="shared" si="1"/>
        <v>79236374</v>
      </c>
    </row>
    <row r="55" spans="1:6" ht="33.75" customHeight="1">
      <c r="A55" s="217">
        <v>7</v>
      </c>
      <c r="B55" s="327" t="s">
        <v>314</v>
      </c>
      <c r="C55" s="323">
        <v>921</v>
      </c>
      <c r="D55" s="354">
        <v>0</v>
      </c>
      <c r="E55" s="354">
        <v>3794175</v>
      </c>
      <c r="F55" s="354">
        <f t="shared" si="1"/>
        <v>3794175</v>
      </c>
    </row>
    <row r="56" spans="1:6" ht="33.75" customHeight="1">
      <c r="A56" s="217">
        <v>8</v>
      </c>
      <c r="B56" s="327" t="s">
        <v>319</v>
      </c>
      <c r="C56" s="323">
        <v>854</v>
      </c>
      <c r="D56" s="354">
        <v>0</v>
      </c>
      <c r="E56" s="354">
        <v>210764</v>
      </c>
      <c r="F56" s="354">
        <f t="shared" si="1"/>
        <v>210764</v>
      </c>
    </row>
    <row r="57" spans="1:6" ht="15" customHeight="1">
      <c r="A57" s="347"/>
      <c r="B57" s="348"/>
      <c r="C57" s="357"/>
      <c r="D57" s="362"/>
      <c r="E57" s="362"/>
      <c r="F57" s="362"/>
    </row>
    <row r="58" spans="1:6" ht="21.75" customHeight="1">
      <c r="A58" s="431" t="s">
        <v>159</v>
      </c>
      <c r="B58" s="431"/>
      <c r="C58" s="431"/>
      <c r="D58" s="431"/>
      <c r="E58" s="431"/>
      <c r="F58" s="431"/>
    </row>
    <row r="59" spans="1:6" ht="15" customHeight="1">
      <c r="A59" s="360"/>
      <c r="B59" s="330" t="s">
        <v>126</v>
      </c>
      <c r="C59" s="360"/>
      <c r="D59" s="360"/>
      <c r="E59" s="360"/>
      <c r="F59" s="360"/>
    </row>
    <row r="60" spans="1:6" ht="31.5">
      <c r="A60" s="368" t="s">
        <v>0</v>
      </c>
      <c r="B60" s="368" t="s">
        <v>6</v>
      </c>
      <c r="C60" s="368" t="s">
        <v>7</v>
      </c>
      <c r="D60" s="369" t="s">
        <v>311</v>
      </c>
      <c r="E60" s="369" t="s">
        <v>133</v>
      </c>
      <c r="F60" s="369" t="s">
        <v>8</v>
      </c>
    </row>
    <row r="61" spans="1:6" ht="22.5" customHeight="1">
      <c r="A61" s="430" t="s">
        <v>160</v>
      </c>
      <c r="B61" s="430"/>
      <c r="C61" s="328"/>
      <c r="D61" s="325">
        <f>SUM(D62:D62)</f>
        <v>0</v>
      </c>
      <c r="E61" s="325">
        <f>SUM(E62:E62)</f>
        <v>32048780</v>
      </c>
      <c r="F61" s="325">
        <f>SUM(F62:F62)</f>
        <v>32048780</v>
      </c>
    </row>
    <row r="62" spans="1:6" ht="16.5" customHeight="1">
      <c r="A62" s="217">
        <v>1</v>
      </c>
      <c r="B62" s="352" t="s">
        <v>162</v>
      </c>
      <c r="C62" s="323">
        <v>600</v>
      </c>
      <c r="D62" s="354">
        <v>0</v>
      </c>
      <c r="E62" s="354">
        <v>32048780</v>
      </c>
      <c r="F62" s="354">
        <v>32048780</v>
      </c>
    </row>
  </sheetData>
  <mergeCells count="12">
    <mergeCell ref="A61:B61"/>
    <mergeCell ref="A45:F45"/>
    <mergeCell ref="A48:B48"/>
    <mergeCell ref="A36:B36"/>
    <mergeCell ref="A1:F1"/>
    <mergeCell ref="A21:F21"/>
    <mergeCell ref="A24:B24"/>
    <mergeCell ref="A10:B10"/>
    <mergeCell ref="A58:F58"/>
    <mergeCell ref="A33:F33"/>
    <mergeCell ref="A7:F7"/>
    <mergeCell ref="A3:B3"/>
  </mergeCells>
  <printOptions horizontalCentered="1"/>
  <pageMargins left="0.27559055118110237" right="0.15748031496062992" top="0.19685039370078741" bottom="0.35433070866141736" header="0.15748031496062992" footer="0.31496062992125984"/>
  <pageSetup paperSize="9"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2"/>
  <sheetViews>
    <sheetView zoomScaleNormal="100" workbookViewId="0">
      <selection sqref="A1:M62"/>
    </sheetView>
  </sheetViews>
  <sheetFormatPr defaultRowHeight="15"/>
  <cols>
    <col min="1" max="1" width="3.5" style="118" customWidth="1"/>
    <col min="2" max="2" width="2.75" style="118" customWidth="1"/>
    <col min="3" max="3" width="67.5" style="118" customWidth="1"/>
    <col min="4" max="4" width="13.625" style="118" customWidth="1"/>
    <col min="5" max="5" width="14.125" customWidth="1"/>
    <col min="6" max="12" width="12.875" customWidth="1"/>
    <col min="13" max="13" width="13.375" customWidth="1"/>
  </cols>
  <sheetData>
    <row r="1" spans="1:13" ht="16.5" customHeight="1">
      <c r="A1" s="393" t="s">
        <v>174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</row>
    <row r="2" spans="1:13" ht="25.5" customHeight="1">
      <c r="A2" s="394" t="s">
        <v>175</v>
      </c>
      <c r="B2" s="394"/>
      <c r="C2" s="394"/>
      <c r="D2" s="394"/>
      <c r="E2" s="394"/>
      <c r="F2" s="394"/>
      <c r="G2" s="394"/>
      <c r="H2" s="394"/>
      <c r="I2" s="394"/>
      <c r="J2" s="394"/>
      <c r="K2" s="394"/>
      <c r="L2" s="394"/>
      <c r="M2" s="394"/>
    </row>
    <row r="3" spans="1:13" ht="17.25" customHeight="1" thickBot="1">
      <c r="M3" s="119" t="s">
        <v>10</v>
      </c>
    </row>
    <row r="4" spans="1:13" ht="27" customHeight="1" thickBot="1">
      <c r="A4" s="120" t="s">
        <v>136</v>
      </c>
      <c r="B4" s="405" t="s">
        <v>88</v>
      </c>
      <c r="C4" s="406"/>
      <c r="D4" s="121">
        <v>2011</v>
      </c>
      <c r="E4" s="72">
        <v>2012</v>
      </c>
      <c r="F4" s="72">
        <v>2013</v>
      </c>
      <c r="G4" s="72">
        <v>2014</v>
      </c>
      <c r="H4" s="72">
        <v>2015</v>
      </c>
      <c r="I4" s="72">
        <v>2016</v>
      </c>
      <c r="J4" s="72">
        <v>2017</v>
      </c>
      <c r="K4" s="72">
        <v>2018</v>
      </c>
      <c r="L4" s="72">
        <v>2019</v>
      </c>
      <c r="M4" s="117">
        <v>2020</v>
      </c>
    </row>
    <row r="5" spans="1:13" ht="21" customHeight="1">
      <c r="A5" s="122">
        <v>1</v>
      </c>
      <c r="B5" s="397" t="s">
        <v>176</v>
      </c>
      <c r="C5" s="398"/>
      <c r="D5" s="123">
        <f>D6+D7</f>
        <v>1379135449</v>
      </c>
      <c r="E5" s="123">
        <f>E6+E7</f>
        <v>1439324469</v>
      </c>
      <c r="F5" s="123">
        <f t="shared" ref="F5:M5" si="0">F6+F7</f>
        <v>1809635244</v>
      </c>
      <c r="G5" s="123">
        <f t="shared" si="0"/>
        <v>1499498423</v>
      </c>
      <c r="H5" s="123">
        <f t="shared" si="0"/>
        <v>937852790</v>
      </c>
      <c r="I5" s="123">
        <f t="shared" si="0"/>
        <v>870995699</v>
      </c>
      <c r="J5" s="123">
        <f t="shared" si="0"/>
        <v>878320707</v>
      </c>
      <c r="K5" s="123">
        <f t="shared" si="0"/>
        <v>883993380</v>
      </c>
      <c r="L5" s="123">
        <f t="shared" si="0"/>
        <v>889387133</v>
      </c>
      <c r="M5" s="123">
        <f t="shared" si="0"/>
        <v>895191654</v>
      </c>
    </row>
    <row r="6" spans="1:13" ht="21" customHeight="1">
      <c r="A6" s="399"/>
      <c r="B6" s="124" t="s">
        <v>177</v>
      </c>
      <c r="C6" s="125" t="s">
        <v>178</v>
      </c>
      <c r="D6" s="126">
        <v>1054733305</v>
      </c>
      <c r="E6" s="126">
        <f>'DANE ZBIORCZE'!D47</f>
        <v>1109982998</v>
      </c>
      <c r="F6" s="126">
        <f>'DANE ZBIORCZE'!E47</f>
        <v>1037150920</v>
      </c>
      <c r="G6" s="126">
        <f>'DANE ZBIORCZE'!F47</f>
        <v>927813480</v>
      </c>
      <c r="H6" s="126">
        <f>'DANE ZBIORCZE'!G47</f>
        <v>883690348</v>
      </c>
      <c r="I6" s="126">
        <f>'DANE ZBIORCZE'!H47</f>
        <v>849053099</v>
      </c>
      <c r="J6" s="126">
        <f>'DANE ZBIORCZE'!I47</f>
        <v>854278107</v>
      </c>
      <c r="K6" s="126">
        <f>'DANE ZBIORCZE'!J47</f>
        <v>859950780</v>
      </c>
      <c r="L6" s="126">
        <f>'DANE ZBIORCZE'!K47</f>
        <v>865494533</v>
      </c>
      <c r="M6" s="126">
        <f>'DANE ZBIORCZE'!L47</f>
        <v>871299054</v>
      </c>
    </row>
    <row r="7" spans="1:13" ht="21" customHeight="1">
      <c r="A7" s="400"/>
      <c r="B7" s="124" t="s">
        <v>179</v>
      </c>
      <c r="C7" s="125" t="s">
        <v>180</v>
      </c>
      <c r="D7" s="126">
        <v>324402144</v>
      </c>
      <c r="E7" s="126">
        <f>'DANE ZBIORCZE'!D48</f>
        <v>329341471</v>
      </c>
      <c r="F7" s="126">
        <f>'DANE ZBIORCZE'!E48</f>
        <v>772484324</v>
      </c>
      <c r="G7" s="126">
        <f>'DANE ZBIORCZE'!F48</f>
        <v>571684943</v>
      </c>
      <c r="H7" s="126">
        <f>'DANE ZBIORCZE'!G48</f>
        <v>54162442</v>
      </c>
      <c r="I7" s="126">
        <f>'DANE ZBIORCZE'!H48</f>
        <v>21942600</v>
      </c>
      <c r="J7" s="126">
        <f>'DANE ZBIORCZE'!I48</f>
        <v>24042600</v>
      </c>
      <c r="K7" s="126">
        <f>'DANE ZBIORCZE'!J48</f>
        <v>24042600</v>
      </c>
      <c r="L7" s="126">
        <f>'DANE ZBIORCZE'!K48</f>
        <v>23892600</v>
      </c>
      <c r="M7" s="126">
        <f>'DANE ZBIORCZE'!L48</f>
        <v>23892600</v>
      </c>
    </row>
    <row r="8" spans="1:13" ht="21" customHeight="1">
      <c r="A8" s="401"/>
      <c r="B8" s="127" t="s">
        <v>181</v>
      </c>
      <c r="C8" s="125" t="s">
        <v>182</v>
      </c>
      <c r="D8" s="126">
        <f>'DANE ZBIORCZE'!C24</f>
        <v>5097400</v>
      </c>
      <c r="E8" s="126">
        <f>'DANE ZBIORCZE'!D24</f>
        <v>5118720</v>
      </c>
      <c r="F8" s="126">
        <f>'DANE ZBIORCZE'!E24</f>
        <v>3746600</v>
      </c>
      <c r="G8" s="126">
        <f>'DANE ZBIORCZE'!F24</f>
        <v>5621600</v>
      </c>
      <c r="H8" s="126">
        <f>'DANE ZBIORCZE'!G24</f>
        <v>2221600</v>
      </c>
      <c r="I8" s="126">
        <f>'DANE ZBIORCZE'!H24</f>
        <v>3446600</v>
      </c>
      <c r="J8" s="126">
        <f>'DANE ZBIORCZE'!I24</f>
        <v>5546600</v>
      </c>
      <c r="K8" s="126">
        <f>'DANE ZBIORCZE'!J24</f>
        <v>5546600</v>
      </c>
      <c r="L8" s="126">
        <f>'DANE ZBIORCZE'!K24</f>
        <v>5396600</v>
      </c>
      <c r="M8" s="126">
        <f>'DANE ZBIORCZE'!L24</f>
        <v>5396600</v>
      </c>
    </row>
    <row r="9" spans="1:13" ht="21" customHeight="1">
      <c r="A9" s="122">
        <v>2</v>
      </c>
      <c r="B9" s="391" t="s">
        <v>183</v>
      </c>
      <c r="C9" s="392"/>
      <c r="D9" s="128">
        <f>D10+D16</f>
        <v>1572160418.79</v>
      </c>
      <c r="E9" s="128" t="e">
        <f>E10+E16</f>
        <v>#REF!</v>
      </c>
      <c r="F9" s="128">
        <f t="shared" ref="F9:M9" si="1">F10+F16</f>
        <v>1591389062</v>
      </c>
      <c r="G9" s="128">
        <f t="shared" si="1"/>
        <v>1272604728</v>
      </c>
      <c r="H9" s="128">
        <f t="shared" si="1"/>
        <v>829365617</v>
      </c>
      <c r="I9" s="128">
        <f t="shared" si="1"/>
        <v>795498211</v>
      </c>
      <c r="J9" s="128">
        <f t="shared" si="1"/>
        <v>802823219</v>
      </c>
      <c r="K9" s="128">
        <f t="shared" si="1"/>
        <v>808495892</v>
      </c>
      <c r="L9" s="128">
        <f t="shared" si="1"/>
        <v>813889645</v>
      </c>
      <c r="M9" s="128">
        <f t="shared" si="1"/>
        <v>819694142</v>
      </c>
    </row>
    <row r="10" spans="1:13" ht="21" customHeight="1">
      <c r="A10" s="399"/>
      <c r="B10" s="143" t="s">
        <v>177</v>
      </c>
      <c r="C10" s="125" t="s">
        <v>184</v>
      </c>
      <c r="D10" s="129">
        <f>'wielkości początkowe'!G10+18709</f>
        <v>854711869.78999996</v>
      </c>
      <c r="E10" s="221" t="e">
        <f>#REF!</f>
        <v>#REF!</v>
      </c>
      <c r="F10" s="221">
        <f>'wielkości początkowe'!I10</f>
        <v>651122632</v>
      </c>
      <c r="G10" s="221">
        <f>'wielkości początkowe'!J10</f>
        <v>599362778</v>
      </c>
      <c r="H10" s="221">
        <f>'wielkości początkowe'!K10</f>
        <v>541664556</v>
      </c>
      <c r="I10" s="221">
        <f>'wielkości początkowe'!L10</f>
        <v>544415512</v>
      </c>
      <c r="J10" s="221">
        <f>'wielkości początkowe'!M10</f>
        <v>551140323</v>
      </c>
      <c r="K10" s="221">
        <f>'wielkości początkowe'!N10</f>
        <v>558317150</v>
      </c>
      <c r="L10" s="221">
        <f>'wielkości początkowe'!O10</f>
        <v>565696346</v>
      </c>
      <c r="M10" s="221">
        <f>'wielkości początkowe'!P10</f>
        <v>573388868</v>
      </c>
    </row>
    <row r="11" spans="1:13" ht="21" customHeight="1">
      <c r="A11" s="400"/>
      <c r="B11" s="124" t="s">
        <v>179</v>
      </c>
      <c r="C11" s="125" t="s">
        <v>97</v>
      </c>
      <c r="D11" s="126">
        <v>232844925</v>
      </c>
      <c r="E11" s="222"/>
      <c r="F11" s="223">
        <v>232844925</v>
      </c>
      <c r="G11" s="223">
        <v>232844925</v>
      </c>
      <c r="H11" s="223">
        <v>232844925</v>
      </c>
      <c r="I11" s="223">
        <v>232844925</v>
      </c>
      <c r="J11" s="223">
        <v>232844925</v>
      </c>
      <c r="K11" s="223">
        <v>232844925</v>
      </c>
      <c r="L11" s="223">
        <v>232844925</v>
      </c>
      <c r="M11" s="223">
        <v>232844925</v>
      </c>
    </row>
    <row r="12" spans="1:13" ht="21" customHeight="1">
      <c r="A12" s="400"/>
      <c r="B12" s="124" t="s">
        <v>181</v>
      </c>
      <c r="C12" s="125" t="s">
        <v>98</v>
      </c>
      <c r="D12" s="130">
        <v>105626584</v>
      </c>
      <c r="E12" s="223"/>
      <c r="F12" s="223">
        <v>103835080</v>
      </c>
      <c r="G12" s="223">
        <v>103835080</v>
      </c>
      <c r="H12" s="223">
        <v>103835080</v>
      </c>
      <c r="I12" s="223">
        <v>103835080</v>
      </c>
      <c r="J12" s="223">
        <v>103835080</v>
      </c>
      <c r="K12" s="223">
        <v>103835080</v>
      </c>
      <c r="L12" s="223">
        <v>103835080</v>
      </c>
      <c r="M12" s="223">
        <v>103835080</v>
      </c>
    </row>
    <row r="13" spans="1:13" ht="21" customHeight="1">
      <c r="A13" s="400"/>
      <c r="B13" s="124" t="s">
        <v>185</v>
      </c>
      <c r="C13" s="125" t="s">
        <v>186</v>
      </c>
      <c r="D13" s="130">
        <v>8100000</v>
      </c>
      <c r="E13" s="223">
        <v>8100000</v>
      </c>
      <c r="F13" s="223">
        <v>8100000</v>
      </c>
      <c r="G13" s="223">
        <v>8100000</v>
      </c>
      <c r="H13" s="223">
        <v>8100000</v>
      </c>
      <c r="I13" s="223">
        <v>8100000</v>
      </c>
      <c r="J13" s="223">
        <v>8100000</v>
      </c>
      <c r="K13" s="223">
        <v>8100000</v>
      </c>
      <c r="L13" s="223">
        <v>8100000</v>
      </c>
      <c r="M13" s="223">
        <v>8100000</v>
      </c>
    </row>
    <row r="14" spans="1:13" ht="21" customHeight="1">
      <c r="A14" s="400"/>
      <c r="B14" s="124" t="s">
        <v>187</v>
      </c>
      <c r="C14" s="131" t="s">
        <v>138</v>
      </c>
      <c r="D14" s="229">
        <f>'Koszty kredytów'!D25+18709</f>
        <v>8768300.1500000004</v>
      </c>
      <c r="E14" s="229">
        <f>'Koszty kredytów'!E25</f>
        <v>22532905.67302537</v>
      </c>
      <c r="F14" s="229">
        <f>'Koszty kredytów'!F25</f>
        <v>31259929.66177959</v>
      </c>
      <c r="G14" s="229">
        <f>'Koszty kredytów'!G25</f>
        <v>36230990.83525575</v>
      </c>
      <c r="H14" s="229">
        <f>'Koszty kredytów'!H25</f>
        <v>28195725.274280824</v>
      </c>
      <c r="I14" s="229">
        <f>'Koszty kredytów'!I25</f>
        <v>23504528.433682192</v>
      </c>
      <c r="J14" s="229">
        <f>'Koszty kredytów'!J25</f>
        <v>18301198.928861644</v>
      </c>
      <c r="K14" s="229">
        <f>'Koszty kredytów'!K25</f>
        <v>13144685.445497263</v>
      </c>
      <c r="L14" s="229">
        <f>'Koszty kredytów'!L25</f>
        <v>7839823.1198753426</v>
      </c>
      <c r="M14" s="229">
        <f>'Koszty kredytów'!M25</f>
        <v>2944531.1887616441</v>
      </c>
    </row>
    <row r="15" spans="1:13" ht="21" customHeight="1">
      <c r="A15" s="400"/>
      <c r="B15" s="124" t="s">
        <v>188</v>
      </c>
      <c r="C15" s="132" t="s">
        <v>189</v>
      </c>
      <c r="D15" s="133">
        <v>264386504</v>
      </c>
      <c r="E15" s="224">
        <v>264386504</v>
      </c>
      <c r="F15" s="222">
        <v>93334606</v>
      </c>
      <c r="G15" s="222">
        <v>46300458</v>
      </c>
      <c r="H15" s="222">
        <v>13437419</v>
      </c>
      <c r="I15" s="222">
        <v>13325894</v>
      </c>
      <c r="J15" s="222">
        <v>11735070</v>
      </c>
      <c r="K15" s="222">
        <v>11338115</v>
      </c>
      <c r="L15" s="222">
        <v>11248169</v>
      </c>
      <c r="M15" s="222">
        <v>11293286</v>
      </c>
    </row>
    <row r="16" spans="1:13" ht="21" customHeight="1">
      <c r="A16" s="400"/>
      <c r="B16" s="143" t="s">
        <v>190</v>
      </c>
      <c r="C16" s="125" t="s">
        <v>191</v>
      </c>
      <c r="D16" s="128">
        <f>877104805-159656256</f>
        <v>717448549</v>
      </c>
      <c r="E16" s="128" t="e">
        <f>#REF!</f>
        <v>#REF!</v>
      </c>
      <c r="F16" s="128">
        <v>940266430</v>
      </c>
      <c r="G16" s="128">
        <v>673241950</v>
      </c>
      <c r="H16" s="128">
        <v>287701061</v>
      </c>
      <c r="I16" s="128">
        <v>251082699</v>
      </c>
      <c r="J16" s="128">
        <v>251682896</v>
      </c>
      <c r="K16" s="128">
        <v>250178742</v>
      </c>
      <c r="L16" s="128">
        <v>248193299</v>
      </c>
      <c r="M16" s="128">
        <v>246305274</v>
      </c>
    </row>
    <row r="17" spans="1:13" ht="21" customHeight="1">
      <c r="A17" s="401"/>
      <c r="B17" s="124" t="s">
        <v>192</v>
      </c>
      <c r="C17" s="134" t="s">
        <v>193</v>
      </c>
      <c r="D17" s="126">
        <v>459057825</v>
      </c>
      <c r="E17" s="222">
        <v>569262125</v>
      </c>
      <c r="F17" s="222">
        <v>882428031</v>
      </c>
      <c r="G17" s="222">
        <v>458042152</v>
      </c>
      <c r="H17" s="222">
        <v>87593118</v>
      </c>
      <c r="I17" s="222">
        <v>7274064</v>
      </c>
      <c r="J17" s="222">
        <v>0</v>
      </c>
      <c r="K17" s="222">
        <v>0</v>
      </c>
      <c r="L17" s="222">
        <v>0</v>
      </c>
      <c r="M17" s="222">
        <v>0</v>
      </c>
    </row>
    <row r="18" spans="1:13" ht="21" customHeight="1">
      <c r="A18" s="135">
        <v>3</v>
      </c>
      <c r="B18" s="391" t="s">
        <v>194</v>
      </c>
      <c r="C18" s="392"/>
      <c r="D18" s="128">
        <f>D5-D9</f>
        <v>-193024969.78999996</v>
      </c>
      <c r="E18" s="128" t="e">
        <f>E5-E9</f>
        <v>#REF!</v>
      </c>
      <c r="F18" s="128">
        <f t="shared" ref="F18:M19" si="2">F5-F9</f>
        <v>218246182</v>
      </c>
      <c r="G18" s="128">
        <f t="shared" si="2"/>
        <v>226893695</v>
      </c>
      <c r="H18" s="128">
        <f t="shared" si="2"/>
        <v>108487173</v>
      </c>
      <c r="I18" s="128">
        <f t="shared" si="2"/>
        <v>75497488</v>
      </c>
      <c r="J18" s="128">
        <f t="shared" si="2"/>
        <v>75497488</v>
      </c>
      <c r="K18" s="128">
        <f t="shared" si="2"/>
        <v>75497488</v>
      </c>
      <c r="L18" s="128">
        <f t="shared" si="2"/>
        <v>75497488</v>
      </c>
      <c r="M18" s="128">
        <f t="shared" si="2"/>
        <v>75497512</v>
      </c>
    </row>
    <row r="19" spans="1:13" ht="21" customHeight="1">
      <c r="A19" s="122">
        <v>4</v>
      </c>
      <c r="B19" s="391" t="s">
        <v>195</v>
      </c>
      <c r="C19" s="392"/>
      <c r="D19" s="128">
        <f>D6-D10</f>
        <v>200021435.21000004</v>
      </c>
      <c r="E19" s="128" t="e">
        <f>E6-E10</f>
        <v>#REF!</v>
      </c>
      <c r="F19" s="128">
        <f t="shared" si="2"/>
        <v>386028288</v>
      </c>
      <c r="G19" s="128">
        <f t="shared" si="2"/>
        <v>328450702</v>
      </c>
      <c r="H19" s="128">
        <f t="shared" si="2"/>
        <v>342025792</v>
      </c>
      <c r="I19" s="128">
        <f t="shared" si="2"/>
        <v>304637587</v>
      </c>
      <c r="J19" s="128">
        <f t="shared" si="2"/>
        <v>303137784</v>
      </c>
      <c r="K19" s="128">
        <f t="shared" si="2"/>
        <v>301633630</v>
      </c>
      <c r="L19" s="128">
        <f t="shared" si="2"/>
        <v>299798187</v>
      </c>
      <c r="M19" s="128">
        <f t="shared" si="2"/>
        <v>297910186</v>
      </c>
    </row>
    <row r="20" spans="1:13" ht="21" customHeight="1">
      <c r="A20" s="122">
        <v>5</v>
      </c>
      <c r="B20" s="391" t="s">
        <v>196</v>
      </c>
      <c r="C20" s="392"/>
      <c r="D20" s="128">
        <f>SUM(D21:D25)</f>
        <v>293944338</v>
      </c>
      <c r="E20" s="128">
        <f>SUM(E21:E25)</f>
        <v>251048321</v>
      </c>
      <c r="F20" s="128">
        <f t="shared" ref="F20:M20" si="3">SUM(F21:F25)</f>
        <v>54663401</v>
      </c>
      <c r="G20" s="128">
        <f t="shared" si="3"/>
        <v>32465444</v>
      </c>
      <c r="H20" s="128">
        <f t="shared" si="3"/>
        <v>0</v>
      </c>
      <c r="I20" s="128">
        <f t="shared" si="3"/>
        <v>0</v>
      </c>
      <c r="J20" s="128">
        <f t="shared" si="3"/>
        <v>0</v>
      </c>
      <c r="K20" s="128">
        <f t="shared" si="3"/>
        <v>0</v>
      </c>
      <c r="L20" s="128">
        <f t="shared" si="3"/>
        <v>0</v>
      </c>
      <c r="M20" s="128">
        <f t="shared" si="3"/>
        <v>0</v>
      </c>
    </row>
    <row r="21" spans="1:13" ht="21" customHeight="1">
      <c r="A21" s="399"/>
      <c r="B21" s="136" t="s">
        <v>177</v>
      </c>
      <c r="C21" s="125" t="s">
        <v>197</v>
      </c>
      <c r="D21" s="126"/>
      <c r="E21" s="126"/>
      <c r="F21" s="126"/>
      <c r="G21" s="126"/>
      <c r="H21" s="126"/>
      <c r="I21" s="126"/>
      <c r="J21" s="126"/>
      <c r="K21" s="126"/>
      <c r="L21" s="126"/>
      <c r="M21" s="126"/>
    </row>
    <row r="22" spans="1:13" ht="21" customHeight="1">
      <c r="A22" s="400"/>
      <c r="B22" s="137" t="s">
        <v>179</v>
      </c>
      <c r="C22" s="132" t="s">
        <v>198</v>
      </c>
      <c r="D22" s="126"/>
      <c r="E22" s="126">
        <v>42214074</v>
      </c>
      <c r="F22" s="126"/>
      <c r="G22" s="126"/>
      <c r="H22" s="126"/>
      <c r="I22" s="126"/>
      <c r="J22" s="126"/>
      <c r="K22" s="126"/>
      <c r="L22" s="126"/>
      <c r="M22" s="126"/>
    </row>
    <row r="23" spans="1:13" ht="21" customHeight="1">
      <c r="A23" s="400"/>
      <c r="B23" s="124" t="s">
        <v>181</v>
      </c>
      <c r="C23" s="125" t="s">
        <v>199</v>
      </c>
      <c r="D23" s="126">
        <v>79310061</v>
      </c>
      <c r="E23" s="126"/>
      <c r="F23" s="126"/>
      <c r="G23" s="126"/>
      <c r="H23" s="126"/>
      <c r="I23" s="126"/>
      <c r="J23" s="126"/>
      <c r="K23" s="126"/>
      <c r="L23" s="126"/>
      <c r="M23" s="126"/>
    </row>
    <row r="24" spans="1:13" ht="21" customHeight="1">
      <c r="A24" s="400"/>
      <c r="B24" s="124" t="s">
        <v>185</v>
      </c>
      <c r="C24" s="131" t="s">
        <v>200</v>
      </c>
      <c r="D24" s="126">
        <v>17990444</v>
      </c>
      <c r="E24" s="126">
        <v>8430221</v>
      </c>
      <c r="F24" s="126">
        <v>6614621</v>
      </c>
      <c r="G24" s="126">
        <v>416664</v>
      </c>
      <c r="H24" s="126"/>
      <c r="I24" s="126"/>
      <c r="J24" s="126"/>
      <c r="K24" s="126"/>
      <c r="L24" s="126"/>
      <c r="M24" s="126"/>
    </row>
    <row r="25" spans="1:13" ht="21" customHeight="1">
      <c r="A25" s="401"/>
      <c r="B25" s="124" t="s">
        <v>187</v>
      </c>
      <c r="C25" s="125" t="s">
        <v>201</v>
      </c>
      <c r="D25" s="126">
        <v>196643833</v>
      </c>
      <c r="E25" s="126">
        <f>'Zestawienie kredytów'!F36</f>
        <v>200404026</v>
      </c>
      <c r="F25" s="126">
        <v>48048780</v>
      </c>
      <c r="G25" s="126">
        <v>32048780</v>
      </c>
      <c r="H25" s="126"/>
      <c r="I25" s="126"/>
      <c r="J25" s="126"/>
      <c r="K25" s="126"/>
      <c r="L25" s="126"/>
      <c r="M25" s="126"/>
    </row>
    <row r="26" spans="1:13" ht="21" customHeight="1">
      <c r="A26" s="135">
        <v>6</v>
      </c>
      <c r="B26" s="391" t="s">
        <v>202</v>
      </c>
      <c r="C26" s="392"/>
      <c r="D26" s="128">
        <f>SUM(D27:D28)</f>
        <v>24177476.960000001</v>
      </c>
      <c r="E26" s="128">
        <f>SUM(E27:E28)</f>
        <v>43395713.639999993</v>
      </c>
      <c r="F26" s="128">
        <f t="shared" ref="F26:M26" si="4">SUM(F27:F28)</f>
        <v>68446166</v>
      </c>
      <c r="G26" s="128">
        <f t="shared" si="4"/>
        <v>96024920</v>
      </c>
      <c r="H26" s="128">
        <f t="shared" si="4"/>
        <v>93366544</v>
      </c>
      <c r="I26" s="128">
        <f t="shared" si="4"/>
        <v>93366544</v>
      </c>
      <c r="J26" s="128">
        <f t="shared" si="4"/>
        <v>93366544</v>
      </c>
      <c r="K26" s="128">
        <f t="shared" si="4"/>
        <v>93366544</v>
      </c>
      <c r="L26" s="128">
        <f t="shared" si="4"/>
        <v>93366544</v>
      </c>
      <c r="M26" s="128">
        <f t="shared" si="4"/>
        <v>93366567.810000002</v>
      </c>
    </row>
    <row r="27" spans="1:13" ht="21" customHeight="1">
      <c r="A27" s="399"/>
      <c r="B27" s="136" t="s">
        <v>177</v>
      </c>
      <c r="C27" s="125" t="s">
        <v>203</v>
      </c>
      <c r="D27" s="126">
        <f>'Koszty kredytów'!D24</f>
        <v>22177476.960000001</v>
      </c>
      <c r="E27" s="126">
        <f>'Koszty kredytów'!E24</f>
        <v>43395713.639999993</v>
      </c>
      <c r="F27" s="126">
        <f>'Koszty kredytów'!F24</f>
        <v>68446166</v>
      </c>
      <c r="G27" s="126">
        <f>'Koszty kredytów'!G24</f>
        <v>96024920</v>
      </c>
      <c r="H27" s="126">
        <f>'Koszty kredytów'!H24</f>
        <v>93366544</v>
      </c>
      <c r="I27" s="126">
        <f>'Koszty kredytów'!I24</f>
        <v>93366544</v>
      </c>
      <c r="J27" s="126">
        <f>'Koszty kredytów'!J24</f>
        <v>93366544</v>
      </c>
      <c r="K27" s="126">
        <f>'Koszty kredytów'!K24</f>
        <v>93366544</v>
      </c>
      <c r="L27" s="126">
        <f>'Koszty kredytów'!L24</f>
        <v>93366544</v>
      </c>
      <c r="M27" s="126">
        <f>'Koszty kredytów'!M24</f>
        <v>93366567.810000002</v>
      </c>
    </row>
    <row r="28" spans="1:13" ht="21" customHeight="1">
      <c r="A28" s="401"/>
      <c r="B28" s="124" t="s">
        <v>179</v>
      </c>
      <c r="C28" s="125" t="s">
        <v>204</v>
      </c>
      <c r="D28" s="126">
        <v>2000000</v>
      </c>
      <c r="E28" s="126"/>
      <c r="F28" s="126"/>
      <c r="G28" s="126"/>
      <c r="H28" s="126"/>
      <c r="I28" s="126"/>
      <c r="J28" s="126"/>
      <c r="K28" s="126"/>
      <c r="L28" s="126"/>
      <c r="M28" s="138"/>
    </row>
    <row r="29" spans="1:13" ht="21" customHeight="1" thickBot="1">
      <c r="A29" s="139">
        <v>7</v>
      </c>
      <c r="B29" s="402" t="s">
        <v>205</v>
      </c>
      <c r="C29" s="403"/>
      <c r="D29" s="140">
        <f>D5+D20-D9-D26</f>
        <v>76741891.25000003</v>
      </c>
      <c r="E29" s="140" t="e">
        <f>E5+E20-E9-E26</f>
        <v>#REF!</v>
      </c>
      <c r="F29" s="140"/>
      <c r="G29" s="140"/>
      <c r="H29" s="140"/>
      <c r="I29" s="140"/>
      <c r="J29" s="140"/>
      <c r="K29" s="140"/>
      <c r="L29" s="140"/>
      <c r="M29" s="140"/>
    </row>
    <row r="30" spans="1:13" ht="21" customHeight="1">
      <c r="A30" s="141">
        <v>8</v>
      </c>
      <c r="B30" s="397" t="s">
        <v>206</v>
      </c>
      <c r="C30" s="398"/>
      <c r="D30" s="142">
        <f>'Koszty kredytów'!D34</f>
        <v>342571452.44999999</v>
      </c>
      <c r="E30" s="142">
        <f>'Koszty kredytów'!E34</f>
        <v>499568964.81000006</v>
      </c>
      <c r="F30" s="142">
        <f>'Koszty kredytów'!F34</f>
        <v>624175427.81000006</v>
      </c>
      <c r="G30" s="142">
        <f>'Koszty kredytów'!G34</f>
        <v>560199287.81000006</v>
      </c>
      <c r="H30" s="142">
        <f>'Koszty kredytów'!H34</f>
        <v>466832743.81000006</v>
      </c>
      <c r="I30" s="142">
        <f>'Koszty kredytów'!I34</f>
        <v>373466199.81000006</v>
      </c>
      <c r="J30" s="142">
        <f>'Koszty kredytów'!J34</f>
        <v>280099655.81000006</v>
      </c>
      <c r="K30" s="142">
        <f>'Koszty kredytów'!K34</f>
        <v>186733111.81000006</v>
      </c>
      <c r="L30" s="142">
        <f>'Koszty kredytów'!L34</f>
        <v>93366567.810000062</v>
      </c>
      <c r="M30" s="142">
        <f>'Koszty kredytów'!M34</f>
        <v>0</v>
      </c>
    </row>
    <row r="31" spans="1:13" ht="36" customHeight="1">
      <c r="A31" s="399"/>
      <c r="B31" s="136" t="s">
        <v>177</v>
      </c>
      <c r="C31" s="125" t="s">
        <v>207</v>
      </c>
      <c r="D31" s="125">
        <v>0</v>
      </c>
      <c r="E31" s="126">
        <v>0</v>
      </c>
      <c r="F31" s="126">
        <v>0</v>
      </c>
      <c r="G31" s="126">
        <v>0</v>
      </c>
      <c r="H31" s="126">
        <v>0</v>
      </c>
      <c r="I31" s="126">
        <v>0</v>
      </c>
      <c r="J31" s="126">
        <v>0</v>
      </c>
      <c r="K31" s="126">
        <v>0</v>
      </c>
      <c r="L31" s="126">
        <v>0</v>
      </c>
      <c r="M31" s="126">
        <v>0</v>
      </c>
    </row>
    <row r="32" spans="1:13" ht="51" customHeight="1">
      <c r="A32" s="401"/>
      <c r="B32" s="136" t="s">
        <v>179</v>
      </c>
      <c r="C32" s="125" t="s">
        <v>208</v>
      </c>
      <c r="D32" s="125">
        <v>0</v>
      </c>
      <c r="E32" s="126">
        <v>0</v>
      </c>
      <c r="F32" s="126">
        <v>0</v>
      </c>
      <c r="G32" s="126">
        <v>0</v>
      </c>
      <c r="H32" s="126">
        <v>0</v>
      </c>
      <c r="I32" s="126">
        <v>0</v>
      </c>
      <c r="J32" s="126">
        <v>0</v>
      </c>
      <c r="K32" s="126">
        <v>0</v>
      </c>
      <c r="L32" s="126">
        <v>0</v>
      </c>
      <c r="M32" s="126">
        <v>0</v>
      </c>
    </row>
    <row r="33" spans="1:14" ht="21" customHeight="1">
      <c r="A33" s="143">
        <v>9</v>
      </c>
      <c r="B33" s="391" t="s">
        <v>209</v>
      </c>
      <c r="C33" s="392"/>
      <c r="D33" s="144"/>
      <c r="E33" s="126"/>
      <c r="F33" s="126"/>
      <c r="G33" s="126"/>
      <c r="H33" s="126"/>
      <c r="I33" s="126"/>
      <c r="J33" s="126"/>
      <c r="K33" s="126"/>
      <c r="L33" s="126"/>
      <c r="M33" s="126"/>
    </row>
    <row r="34" spans="1:14" ht="21" customHeight="1">
      <c r="A34" s="399"/>
      <c r="B34" s="136" t="s">
        <v>177</v>
      </c>
      <c r="C34" s="125" t="s">
        <v>210</v>
      </c>
      <c r="D34" s="226">
        <f>(D13+D14+D27)/D5</f>
        <v>2.831177832337772E-2</v>
      </c>
      <c r="E34" s="226">
        <f t="shared" ref="E34:M34" si="5">(E13+E14+E27)/E5</f>
        <v>5.143289154561393E-2</v>
      </c>
      <c r="F34" s="226">
        <f t="shared" si="5"/>
        <v>5.9573384205032415E-2</v>
      </c>
      <c r="G34" s="226">
        <f t="shared" si="5"/>
        <v>9.3601906265729853E-2</v>
      </c>
      <c r="H34" s="226">
        <f t="shared" si="5"/>
        <v>0.13825439414034352</v>
      </c>
      <c r="I34" s="226">
        <f t="shared" si="5"/>
        <v>0.14348069982109313</v>
      </c>
      <c r="J34" s="226">
        <f t="shared" si="5"/>
        <v>0.13635992180799358</v>
      </c>
      <c r="K34" s="226">
        <f t="shared" si="5"/>
        <v>0.12965168296339194</v>
      </c>
      <c r="L34" s="226">
        <f t="shared" si="5"/>
        <v>0.1229007740995454</v>
      </c>
      <c r="M34" s="226">
        <f t="shared" si="5"/>
        <v>0.1166354696586142</v>
      </c>
    </row>
    <row r="35" spans="1:14" ht="21" customHeight="1">
      <c r="A35" s="401"/>
      <c r="B35" s="136" t="s">
        <v>179</v>
      </c>
      <c r="C35" s="125" t="s">
        <v>211</v>
      </c>
      <c r="D35" s="226">
        <f>('wielkości początkowe'!D12+'wielkości początkowe'!E12+'wielkości początkowe'!F12)/3</f>
        <v>0.14717025849947621</v>
      </c>
      <c r="E35" s="226">
        <f>('wielkości początkowe'!E12+'wielkości początkowe'!F12+'wielkości początkowe'!G12)/3</f>
        <v>0.14131935516288571</v>
      </c>
      <c r="F35" s="226">
        <f>('wielkości początkowe'!F12+'wielkości początkowe'!G12+'wielkości początkowe'!H12)/3</f>
        <v>0.13666530467221541</v>
      </c>
      <c r="G35" s="226">
        <f>('wielkości początkowe'!G12+'wielkości początkowe'!H12+'wielkości początkowe'!I12)/3</f>
        <v>0.15562417494074177</v>
      </c>
      <c r="H35" s="226">
        <f>('wielkości początkowe'!H12+'wielkości początkowe'!I12+'wielkości początkowe'!J12)/3</f>
        <v>0.16772448800983067</v>
      </c>
      <c r="I35" s="226">
        <f>('wielkości początkowe'!I12+'wielkości początkowe'!J12+'wielkości początkowe'!K12)/3</f>
        <v>0.26841236779994587</v>
      </c>
      <c r="J35" s="226">
        <f>('wielkości początkowe'!J12+'wielkości początkowe'!K12+'wielkości początkowe'!L12)/3</f>
        <v>0.31452113021796463</v>
      </c>
      <c r="K35" s="226">
        <f>('wielkości początkowe'!K12+'wielkości początkowe'!L12+'wielkości początkowe'!M12)/3</f>
        <v>0.3574074663118087</v>
      </c>
      <c r="L35" s="226">
        <f>('wielkości początkowe'!L12+'wielkości początkowe'!M12+'wielkości początkowe'!N12)/3</f>
        <v>0.35088495292773741</v>
      </c>
      <c r="M35" s="226">
        <f>('wielkości początkowe'!M12+'wielkości początkowe'!N12+'wielkości początkowe'!O12)/3</f>
        <v>0.34736390473170892</v>
      </c>
    </row>
    <row r="36" spans="1:14" ht="21" customHeight="1">
      <c r="A36" s="143">
        <v>10</v>
      </c>
      <c r="B36" s="391" t="s">
        <v>212</v>
      </c>
      <c r="C36" s="392"/>
      <c r="D36" s="225" t="str">
        <f>IF(D34&lt;=D35,"TAK","NIE")</f>
        <v>TAK</v>
      </c>
      <c r="E36" s="225" t="str">
        <f t="shared" ref="E36:M36" si="6">IF(E34&lt;=E35,"TAK","NIE")</f>
        <v>TAK</v>
      </c>
      <c r="F36" s="225" t="str">
        <f t="shared" si="6"/>
        <v>TAK</v>
      </c>
      <c r="G36" s="225" t="str">
        <f t="shared" si="6"/>
        <v>TAK</v>
      </c>
      <c r="H36" s="225" t="str">
        <f t="shared" si="6"/>
        <v>TAK</v>
      </c>
      <c r="I36" s="225" t="str">
        <f t="shared" si="6"/>
        <v>TAK</v>
      </c>
      <c r="J36" s="225" t="str">
        <f t="shared" si="6"/>
        <v>TAK</v>
      </c>
      <c r="K36" s="225" t="str">
        <f t="shared" si="6"/>
        <v>TAK</v>
      </c>
      <c r="L36" s="225" t="str">
        <f t="shared" si="6"/>
        <v>TAK</v>
      </c>
      <c r="M36" s="225" t="str">
        <f t="shared" si="6"/>
        <v>TAK</v>
      </c>
    </row>
    <row r="37" spans="1:14" ht="37.5" customHeight="1">
      <c r="A37" s="143">
        <v>11</v>
      </c>
      <c r="B37" s="391" t="s">
        <v>213</v>
      </c>
      <c r="C37" s="392"/>
      <c r="D37" s="227">
        <f>(D13+D14+D27)/D5</f>
        <v>2.831177832337772E-2</v>
      </c>
      <c r="E37" s="227">
        <f t="shared" ref="E37:M37" si="7">(E13+E14+E27)/E5</f>
        <v>5.143289154561393E-2</v>
      </c>
      <c r="F37" s="227">
        <f t="shared" si="7"/>
        <v>5.9573384205032415E-2</v>
      </c>
      <c r="G37" s="227">
        <f t="shared" si="7"/>
        <v>9.3601906265729853E-2</v>
      </c>
      <c r="H37" s="227">
        <f t="shared" si="7"/>
        <v>0.13825439414034352</v>
      </c>
      <c r="I37" s="227">
        <f t="shared" si="7"/>
        <v>0.14348069982109313</v>
      </c>
      <c r="J37" s="227">
        <f t="shared" si="7"/>
        <v>0.13635992180799358</v>
      </c>
      <c r="K37" s="227">
        <f t="shared" si="7"/>
        <v>0.12965168296339194</v>
      </c>
      <c r="L37" s="227">
        <f t="shared" si="7"/>
        <v>0.1229007740995454</v>
      </c>
      <c r="M37" s="227">
        <f t="shared" si="7"/>
        <v>0.1166354696586142</v>
      </c>
      <c r="N37" s="145"/>
    </row>
    <row r="38" spans="1:14" ht="39" customHeight="1" thickBot="1">
      <c r="A38" s="146">
        <v>12</v>
      </c>
      <c r="B38" s="402" t="s">
        <v>214</v>
      </c>
      <c r="C38" s="403"/>
      <c r="D38" s="228">
        <f>(D30-D31-D32)/D5</f>
        <v>0.24839579948321666</v>
      </c>
      <c r="E38" s="228">
        <f t="shared" ref="E38:M38" si="8">(E30-E31-E32)/E5</f>
        <v>0.34708571664670285</v>
      </c>
      <c r="F38" s="228">
        <f t="shared" si="8"/>
        <v>0.344917811409513</v>
      </c>
      <c r="G38" s="228">
        <f t="shared" si="8"/>
        <v>0.37359111501379688</v>
      </c>
      <c r="H38" s="228">
        <f t="shared" si="8"/>
        <v>0.49776761213239029</v>
      </c>
      <c r="I38" s="228">
        <f t="shared" si="8"/>
        <v>0.42878076233761064</v>
      </c>
      <c r="J38" s="228">
        <f t="shared" si="8"/>
        <v>0.31890362321834692</v>
      </c>
      <c r="K38" s="228">
        <f t="shared" si="8"/>
        <v>0.21123813371769828</v>
      </c>
      <c r="L38" s="228">
        <f t="shared" si="8"/>
        <v>0.10497854572627381</v>
      </c>
      <c r="M38" s="228">
        <f t="shared" si="8"/>
        <v>0</v>
      </c>
      <c r="N38" s="145"/>
    </row>
    <row r="39" spans="1:14" ht="35.25" customHeight="1" thickBot="1">
      <c r="A39" s="147"/>
      <c r="B39" s="147"/>
      <c r="C39" s="148"/>
      <c r="D39" s="148"/>
      <c r="E39" s="149"/>
      <c r="F39" s="149"/>
      <c r="G39" s="149"/>
      <c r="H39" s="149"/>
      <c r="I39" s="149"/>
      <c r="J39" s="149"/>
      <c r="K39" s="149"/>
      <c r="L39" s="149"/>
      <c r="M39" s="149"/>
    </row>
    <row r="40" spans="1:14" ht="25.5" customHeight="1">
      <c r="A40" s="150">
        <v>13</v>
      </c>
      <c r="B40" s="397" t="s">
        <v>215</v>
      </c>
      <c r="C40" s="398"/>
      <c r="D40" s="151"/>
      <c r="E40" s="152"/>
      <c r="F40" s="153"/>
      <c r="G40" s="153"/>
      <c r="H40" s="153"/>
      <c r="I40" s="153"/>
      <c r="J40" s="153"/>
      <c r="K40" s="153"/>
      <c r="L40" s="153"/>
      <c r="M40" s="153"/>
    </row>
    <row r="41" spans="1:14" ht="21" customHeight="1">
      <c r="A41" s="399"/>
      <c r="B41" s="124" t="s">
        <v>177</v>
      </c>
      <c r="C41" s="125" t="s">
        <v>216</v>
      </c>
      <c r="D41" s="125"/>
      <c r="E41" s="154"/>
      <c r="F41" s="155"/>
      <c r="G41" s="156"/>
      <c r="H41" s="155"/>
      <c r="I41" s="156"/>
      <c r="J41" s="155"/>
      <c r="K41" s="156"/>
      <c r="L41" s="155"/>
      <c r="M41" s="154"/>
    </row>
    <row r="42" spans="1:14" ht="19.5" customHeight="1">
      <c r="A42" s="400"/>
      <c r="B42" s="124" t="s">
        <v>179</v>
      </c>
      <c r="C42" s="125" t="s">
        <v>217</v>
      </c>
      <c r="D42" s="125"/>
      <c r="E42" s="154"/>
      <c r="F42" s="155"/>
      <c r="G42" s="155"/>
      <c r="H42" s="155"/>
      <c r="I42" s="155"/>
      <c r="J42" s="155"/>
      <c r="K42" s="155"/>
      <c r="L42" s="155"/>
      <c r="M42" s="155"/>
    </row>
    <row r="43" spans="1:14" ht="18.75" customHeight="1">
      <c r="A43" s="400"/>
      <c r="B43" s="124" t="s">
        <v>181</v>
      </c>
      <c r="C43" s="125" t="s">
        <v>199</v>
      </c>
      <c r="D43" s="125"/>
      <c r="E43" s="154"/>
      <c r="F43" s="155"/>
      <c r="G43" s="155"/>
      <c r="H43" s="155"/>
      <c r="I43" s="155"/>
      <c r="J43" s="155"/>
      <c r="K43" s="155"/>
      <c r="L43" s="155"/>
      <c r="M43" s="155"/>
    </row>
    <row r="44" spans="1:14" ht="19.5" customHeight="1">
      <c r="A44" s="400"/>
      <c r="B44" s="124" t="s">
        <v>185</v>
      </c>
      <c r="C44" s="125" t="s">
        <v>218</v>
      </c>
      <c r="D44" s="125"/>
      <c r="E44" s="154"/>
      <c r="F44" s="155"/>
      <c r="G44" s="155"/>
      <c r="H44" s="155"/>
      <c r="I44" s="155"/>
      <c r="J44" s="155"/>
      <c r="K44" s="155"/>
      <c r="L44" s="155"/>
      <c r="M44" s="155"/>
    </row>
    <row r="45" spans="1:14" ht="19.5" customHeight="1">
      <c r="A45" s="400"/>
      <c r="B45" s="124" t="s">
        <v>187</v>
      </c>
      <c r="C45" s="125" t="s">
        <v>219</v>
      </c>
      <c r="D45" s="125"/>
      <c r="E45" s="154"/>
      <c r="F45" s="155"/>
      <c r="G45" s="155"/>
      <c r="H45" s="155"/>
      <c r="I45" s="155"/>
      <c r="J45" s="155"/>
      <c r="K45" s="155"/>
      <c r="L45" s="155"/>
      <c r="M45" s="155"/>
    </row>
    <row r="46" spans="1:14" ht="21.75" customHeight="1">
      <c r="A46" s="400"/>
      <c r="B46" s="124" t="s">
        <v>188</v>
      </c>
      <c r="C46" s="125" t="s">
        <v>220</v>
      </c>
      <c r="D46" s="125"/>
      <c r="E46" s="154"/>
      <c r="F46" s="155"/>
      <c r="G46" s="155"/>
      <c r="H46" s="155"/>
      <c r="I46" s="155"/>
      <c r="J46" s="155"/>
      <c r="K46" s="155"/>
      <c r="L46" s="155"/>
      <c r="M46" s="155"/>
    </row>
    <row r="47" spans="1:14" ht="22.5" customHeight="1" thickBot="1">
      <c r="A47" s="404"/>
      <c r="B47" s="157" t="s">
        <v>190</v>
      </c>
      <c r="C47" s="158" t="s">
        <v>221</v>
      </c>
      <c r="D47" s="158"/>
      <c r="E47" s="159"/>
      <c r="F47" s="160"/>
      <c r="G47" s="160"/>
      <c r="H47" s="160"/>
      <c r="I47" s="160"/>
      <c r="J47" s="160"/>
      <c r="K47" s="160"/>
      <c r="L47" s="160"/>
      <c r="M47" s="160"/>
    </row>
    <row r="48" spans="1:14" ht="36.75" customHeight="1" thickBot="1">
      <c r="A48" s="161"/>
      <c r="B48" s="161"/>
      <c r="C48" s="162"/>
      <c r="D48" s="162"/>
      <c r="E48" s="163"/>
      <c r="F48" s="163"/>
      <c r="G48" s="163"/>
      <c r="H48" s="163"/>
      <c r="I48" s="163"/>
      <c r="J48" s="163"/>
      <c r="K48" s="163"/>
      <c r="L48" s="163"/>
      <c r="M48" s="163"/>
    </row>
    <row r="49" spans="1:13" ht="28.5" customHeight="1">
      <c r="A49" s="150">
        <v>14</v>
      </c>
      <c r="B49" s="397" t="s">
        <v>222</v>
      </c>
      <c r="C49" s="398"/>
      <c r="D49" s="151"/>
      <c r="E49" s="164"/>
      <c r="F49" s="165"/>
      <c r="G49" s="164"/>
      <c r="H49" s="165"/>
      <c r="I49" s="164"/>
      <c r="J49" s="165"/>
      <c r="K49" s="164"/>
      <c r="L49" s="165"/>
      <c r="M49" s="164"/>
    </row>
    <row r="50" spans="1:13" ht="19.5" customHeight="1">
      <c r="A50" s="399"/>
      <c r="B50" s="124" t="s">
        <v>177</v>
      </c>
      <c r="C50" s="125" t="s">
        <v>223</v>
      </c>
      <c r="D50" s="125"/>
      <c r="E50" s="126"/>
      <c r="F50" s="166"/>
      <c r="G50" s="126"/>
      <c r="H50" s="166"/>
      <c r="I50" s="126"/>
      <c r="J50" s="166"/>
      <c r="K50" s="126"/>
      <c r="L50" s="166"/>
      <c r="M50" s="126"/>
    </row>
    <row r="51" spans="1:13" ht="21" customHeight="1">
      <c r="A51" s="400"/>
      <c r="B51" s="124" t="s">
        <v>179</v>
      </c>
      <c r="C51" s="125" t="s">
        <v>224</v>
      </c>
      <c r="D51" s="125"/>
      <c r="E51" s="126"/>
      <c r="F51" s="166"/>
      <c r="G51" s="126"/>
      <c r="H51" s="166"/>
      <c r="I51" s="126"/>
      <c r="J51" s="166"/>
      <c r="K51" s="126"/>
      <c r="L51" s="166"/>
      <c r="M51" s="126"/>
    </row>
    <row r="52" spans="1:13" ht="21" customHeight="1">
      <c r="A52" s="400"/>
      <c r="B52" s="124" t="s">
        <v>181</v>
      </c>
      <c r="C52" s="125" t="s">
        <v>225</v>
      </c>
      <c r="D52" s="125"/>
      <c r="E52" s="126"/>
      <c r="F52" s="166"/>
      <c r="G52" s="126"/>
      <c r="H52" s="166"/>
      <c r="I52" s="126"/>
      <c r="J52" s="166"/>
      <c r="K52" s="126"/>
      <c r="L52" s="166"/>
      <c r="M52" s="126"/>
    </row>
    <row r="53" spans="1:13" ht="20.25" customHeight="1">
      <c r="A53" s="400"/>
      <c r="B53" s="124" t="s">
        <v>185</v>
      </c>
      <c r="C53" s="125" t="s">
        <v>226</v>
      </c>
      <c r="D53" s="125"/>
      <c r="E53" s="126"/>
      <c r="F53" s="166"/>
      <c r="G53" s="126"/>
      <c r="H53" s="166"/>
      <c r="I53" s="126"/>
      <c r="J53" s="166"/>
      <c r="K53" s="126"/>
      <c r="L53" s="166"/>
      <c r="M53" s="126"/>
    </row>
    <row r="54" spans="1:13" ht="18.75" customHeight="1">
      <c r="A54" s="401"/>
      <c r="B54" s="124" t="s">
        <v>187</v>
      </c>
      <c r="C54" s="125" t="s">
        <v>227</v>
      </c>
      <c r="D54" s="125"/>
      <c r="E54" s="126"/>
      <c r="F54" s="166"/>
      <c r="G54" s="126"/>
      <c r="H54" s="166"/>
      <c r="I54" s="126"/>
      <c r="J54" s="166"/>
      <c r="K54" s="126"/>
      <c r="L54" s="166"/>
      <c r="M54" s="126"/>
    </row>
    <row r="55" spans="1:13" ht="24.95" customHeight="1">
      <c r="A55" s="135">
        <v>15</v>
      </c>
      <c r="B55" s="391" t="s">
        <v>228</v>
      </c>
      <c r="C55" s="392"/>
      <c r="D55" s="144"/>
      <c r="E55" s="126"/>
      <c r="F55" s="166"/>
      <c r="G55" s="126"/>
      <c r="H55" s="166"/>
      <c r="I55" s="126"/>
      <c r="J55" s="166"/>
      <c r="K55" s="126"/>
      <c r="L55" s="166"/>
      <c r="M55" s="126"/>
    </row>
    <row r="56" spans="1:13" ht="21.75" customHeight="1">
      <c r="A56" s="399"/>
      <c r="B56" s="124" t="s">
        <v>177</v>
      </c>
      <c r="C56" s="125" t="s">
        <v>229</v>
      </c>
      <c r="D56" s="125"/>
      <c r="E56" s="126"/>
      <c r="F56" s="166"/>
      <c r="G56" s="126"/>
      <c r="H56" s="166"/>
      <c r="I56" s="126"/>
      <c r="J56" s="166"/>
      <c r="K56" s="126"/>
      <c r="L56" s="166"/>
      <c r="M56" s="126"/>
    </row>
    <row r="57" spans="1:13" ht="21.75" customHeight="1">
      <c r="A57" s="400"/>
      <c r="B57" s="124" t="s">
        <v>179</v>
      </c>
      <c r="C57" s="125" t="s">
        <v>230</v>
      </c>
      <c r="D57" s="125"/>
      <c r="E57" s="126"/>
      <c r="F57" s="166"/>
      <c r="G57" s="126"/>
      <c r="H57" s="166"/>
      <c r="I57" s="126"/>
      <c r="J57" s="166"/>
      <c r="K57" s="126"/>
      <c r="L57" s="166"/>
      <c r="M57" s="126"/>
    </row>
    <row r="58" spans="1:13" ht="20.25" customHeight="1">
      <c r="A58" s="400"/>
      <c r="B58" s="124" t="s">
        <v>181</v>
      </c>
      <c r="C58" s="125" t="s">
        <v>221</v>
      </c>
      <c r="D58" s="125"/>
      <c r="E58" s="126"/>
      <c r="F58" s="166"/>
      <c r="G58" s="126"/>
      <c r="H58" s="166"/>
      <c r="I58" s="126"/>
      <c r="J58" s="166"/>
      <c r="K58" s="126"/>
      <c r="L58" s="166"/>
      <c r="M58" s="126"/>
    </row>
    <row r="59" spans="1:13" ht="21" customHeight="1">
      <c r="A59" s="400"/>
      <c r="B59" s="124" t="s">
        <v>185</v>
      </c>
      <c r="C59" s="125" t="s">
        <v>218</v>
      </c>
      <c r="D59" s="125"/>
      <c r="E59" s="126"/>
      <c r="F59" s="166"/>
      <c r="G59" s="126"/>
      <c r="H59" s="166"/>
      <c r="I59" s="126"/>
      <c r="J59" s="166"/>
      <c r="K59" s="126"/>
      <c r="L59" s="166"/>
      <c r="M59" s="126"/>
    </row>
    <row r="60" spans="1:13" ht="20.25" customHeight="1">
      <c r="A60" s="400"/>
      <c r="B60" s="124" t="s">
        <v>187</v>
      </c>
      <c r="C60" s="125" t="s">
        <v>220</v>
      </c>
      <c r="D60" s="125"/>
      <c r="E60" s="126"/>
      <c r="F60" s="166"/>
      <c r="G60" s="126"/>
      <c r="H60" s="166"/>
      <c r="I60" s="126"/>
      <c r="J60" s="166"/>
      <c r="K60" s="126"/>
      <c r="L60" s="166"/>
      <c r="M60" s="126"/>
    </row>
    <row r="61" spans="1:13" ht="21" customHeight="1">
      <c r="A61" s="400"/>
      <c r="B61" s="124" t="s">
        <v>188</v>
      </c>
      <c r="C61" s="125" t="s">
        <v>217</v>
      </c>
      <c r="D61" s="125"/>
      <c r="E61" s="126"/>
      <c r="F61" s="166"/>
      <c r="G61" s="126"/>
      <c r="H61" s="166"/>
      <c r="I61" s="126"/>
      <c r="J61" s="166"/>
      <c r="K61" s="126"/>
      <c r="L61" s="166"/>
      <c r="M61" s="126"/>
    </row>
    <row r="62" spans="1:13" ht="21.75" customHeight="1" thickBot="1">
      <c r="A62" s="404"/>
      <c r="B62" s="157" t="s">
        <v>190</v>
      </c>
      <c r="C62" s="158" t="s">
        <v>199</v>
      </c>
      <c r="D62" s="158"/>
      <c r="E62" s="167"/>
      <c r="F62" s="168"/>
      <c r="G62" s="167"/>
      <c r="H62" s="168"/>
      <c r="I62" s="167"/>
      <c r="J62" s="168"/>
      <c r="K62" s="167"/>
      <c r="L62" s="168"/>
      <c r="M62" s="167"/>
    </row>
  </sheetData>
  <mergeCells count="27">
    <mergeCell ref="A1:M1"/>
    <mergeCell ref="A6:A8"/>
    <mergeCell ref="B33:C33"/>
    <mergeCell ref="B4:C4"/>
    <mergeCell ref="B5:C5"/>
    <mergeCell ref="B26:C26"/>
    <mergeCell ref="A27:A28"/>
    <mergeCell ref="B29:C29"/>
    <mergeCell ref="B30:C30"/>
    <mergeCell ref="A31:A32"/>
    <mergeCell ref="B9:C9"/>
    <mergeCell ref="A2:M2"/>
    <mergeCell ref="A50:A54"/>
    <mergeCell ref="B55:C55"/>
    <mergeCell ref="A56:A62"/>
    <mergeCell ref="B36:C36"/>
    <mergeCell ref="B37:C37"/>
    <mergeCell ref="B38:C38"/>
    <mergeCell ref="B40:C40"/>
    <mergeCell ref="A41:A47"/>
    <mergeCell ref="B49:C49"/>
    <mergeCell ref="A34:A35"/>
    <mergeCell ref="A10:A17"/>
    <mergeCell ref="B18:C18"/>
    <mergeCell ref="B19:C19"/>
    <mergeCell ref="B20:C20"/>
    <mergeCell ref="A21:A25"/>
  </mergeCells>
  <pageMargins left="0.31496062992125984" right="0.27559055118110237" top="0.43307086614173229" bottom="0.43307086614173229" header="0.27559055118110237" footer="0.31496062992125984"/>
  <pageSetup paperSize="9" scale="63" fitToHeight="2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M60"/>
  <sheetViews>
    <sheetView zoomScale="80" zoomScaleNormal="80" workbookViewId="0">
      <selection activeCell="F55" sqref="F55"/>
    </sheetView>
  </sheetViews>
  <sheetFormatPr defaultRowHeight="14.25"/>
  <cols>
    <col min="1" max="1" width="3.5" customWidth="1"/>
    <col min="2" max="2" width="2.75" customWidth="1"/>
    <col min="3" max="3" width="67.5" customWidth="1"/>
    <col min="4" max="4" width="13.625" hidden="1" customWidth="1"/>
    <col min="5" max="5" width="14.125" customWidth="1"/>
    <col min="6" max="12" width="12.875" customWidth="1"/>
    <col min="13" max="13" width="13.375" customWidth="1"/>
  </cols>
  <sheetData>
    <row r="1" spans="1:13" ht="18.75">
      <c r="A1" s="435" t="s">
        <v>306</v>
      </c>
      <c r="B1" s="435"/>
      <c r="C1" s="435"/>
      <c r="D1" s="435"/>
      <c r="E1" s="435"/>
      <c r="F1" s="320"/>
      <c r="G1" s="320"/>
      <c r="H1" s="320"/>
      <c r="I1" s="320"/>
      <c r="J1" s="320"/>
      <c r="K1" s="320"/>
      <c r="L1" s="320"/>
      <c r="M1" s="320" t="s">
        <v>174</v>
      </c>
    </row>
    <row r="2" spans="1:13" ht="23.25" customHeight="1">
      <c r="A2" s="394" t="s">
        <v>175</v>
      </c>
      <c r="B2" s="394"/>
      <c r="C2" s="394"/>
      <c r="D2" s="394"/>
      <c r="E2" s="394"/>
      <c r="F2" s="394"/>
      <c r="G2" s="394"/>
      <c r="H2" s="394"/>
      <c r="I2" s="394"/>
      <c r="J2" s="394"/>
      <c r="K2" s="394"/>
      <c r="L2" s="394"/>
      <c r="M2" s="394"/>
    </row>
    <row r="3" spans="1:13" ht="19.5" thickBot="1">
      <c r="A3" s="118"/>
      <c r="B3" s="118"/>
      <c r="C3" s="118"/>
      <c r="D3" s="118"/>
      <c r="M3" s="320" t="s">
        <v>10</v>
      </c>
    </row>
    <row r="4" spans="1:13" ht="33" customHeight="1" thickBot="1">
      <c r="A4" s="72" t="s">
        <v>136</v>
      </c>
      <c r="B4" s="395" t="s">
        <v>88</v>
      </c>
      <c r="C4" s="396"/>
      <c r="D4" s="322">
        <v>2011</v>
      </c>
      <c r="E4" s="72">
        <v>2012</v>
      </c>
      <c r="F4" s="72">
        <v>2013</v>
      </c>
      <c r="G4" s="72">
        <v>2014</v>
      </c>
      <c r="H4" s="72">
        <v>2015</v>
      </c>
      <c r="I4" s="72">
        <v>2016</v>
      </c>
      <c r="J4" s="72">
        <v>2017</v>
      </c>
      <c r="K4" s="72">
        <v>2018</v>
      </c>
      <c r="L4" s="72">
        <v>2019</v>
      </c>
      <c r="M4" s="321">
        <v>2020</v>
      </c>
    </row>
    <row r="5" spans="1:13" ht="22.5" customHeight="1">
      <c r="A5" s="122">
        <v>1</v>
      </c>
      <c r="B5" s="397" t="s">
        <v>176</v>
      </c>
      <c r="C5" s="398"/>
      <c r="D5" s="123">
        <f>D6+D7</f>
        <v>1375150127</v>
      </c>
      <c r="E5" s="123">
        <f>E6+E7</f>
        <v>1050080643</v>
      </c>
      <c r="F5" s="123">
        <f t="shared" ref="F5:M5" si="0">F6+F7</f>
        <v>977293418</v>
      </c>
      <c r="G5" s="123">
        <f t="shared" si="0"/>
        <v>858531204</v>
      </c>
      <c r="H5" s="123">
        <f t="shared" si="0"/>
        <v>805707831</v>
      </c>
      <c r="I5" s="123">
        <f t="shared" si="0"/>
        <v>803811274</v>
      </c>
      <c r="J5" s="123">
        <f t="shared" si="0"/>
        <v>811136282</v>
      </c>
      <c r="K5" s="123">
        <f t="shared" si="0"/>
        <v>816808955</v>
      </c>
      <c r="L5" s="123">
        <f t="shared" si="0"/>
        <v>822202708</v>
      </c>
      <c r="M5" s="123">
        <f t="shared" si="0"/>
        <v>828007229</v>
      </c>
    </row>
    <row r="6" spans="1:13" ht="18.75" customHeight="1">
      <c r="A6" s="399"/>
      <c r="B6" s="124" t="s">
        <v>177</v>
      </c>
      <c r="C6" s="125" t="s">
        <v>178</v>
      </c>
      <c r="D6" s="126">
        <f>'DANE ZBIORCZE'!C52</f>
        <v>1061349650</v>
      </c>
      <c r="E6" s="126">
        <f>'DANE ZBIORCZE'!D7+'DANE ZBIORCZE'!D27-'DANE ZBIORCZE'!D32</f>
        <v>905274187</v>
      </c>
      <c r="F6" s="126">
        <f>'DANE ZBIORCZE'!E7+'DANE ZBIORCZE'!E27-'DANE ZBIORCZE'!E32</f>
        <v>865604436</v>
      </c>
      <c r="G6" s="126">
        <f>'DANE ZBIORCZE'!F7+'DANE ZBIORCZE'!F27-'DANE ZBIORCZE'!F32</f>
        <v>811657665</v>
      </c>
      <c r="H6" s="126">
        <f>'DANE ZBIORCZE'!G7+'DANE ZBIORCZE'!G27-'DANE ZBIORCZE'!G32</f>
        <v>798923867</v>
      </c>
      <c r="I6" s="126">
        <f>'DANE ZBIORCZE'!H7+'DANE ZBIORCZE'!H27-'DANE ZBIORCZE'!H32</f>
        <v>800364674</v>
      </c>
      <c r="J6" s="126">
        <f>'DANE ZBIORCZE'!I7+'DANE ZBIORCZE'!I27-'DANE ZBIORCZE'!I32</f>
        <v>805589682</v>
      </c>
      <c r="K6" s="126">
        <f>'DANE ZBIORCZE'!J7+'DANE ZBIORCZE'!J27-'DANE ZBIORCZE'!J32</f>
        <v>811262355</v>
      </c>
      <c r="L6" s="126">
        <f>'DANE ZBIORCZE'!K7+'DANE ZBIORCZE'!K27-'DANE ZBIORCZE'!K32</f>
        <v>816806108</v>
      </c>
      <c r="M6" s="126">
        <f>'DANE ZBIORCZE'!L7+'DANE ZBIORCZE'!L27-'DANE ZBIORCZE'!L32</f>
        <v>822610629</v>
      </c>
    </row>
    <row r="7" spans="1:13" ht="18.75" customHeight="1">
      <c r="A7" s="400"/>
      <c r="B7" s="124" t="s">
        <v>179</v>
      </c>
      <c r="C7" s="125" t="s">
        <v>180</v>
      </c>
      <c r="D7" s="126">
        <f>'DANE ZBIORCZE'!C53</f>
        <v>313800477</v>
      </c>
      <c r="E7" s="126">
        <f>'DANE ZBIORCZE'!D22+'DANE ZBIORCZE'!D32</f>
        <v>144806456</v>
      </c>
      <c r="F7" s="126">
        <f>'DANE ZBIORCZE'!E22+'DANE ZBIORCZE'!E32</f>
        <v>111688982</v>
      </c>
      <c r="G7" s="126">
        <f>'DANE ZBIORCZE'!F22+'DANE ZBIORCZE'!F32</f>
        <v>46873539</v>
      </c>
      <c r="H7" s="126">
        <f>'DANE ZBIORCZE'!G22+'DANE ZBIORCZE'!G32</f>
        <v>6783964</v>
      </c>
      <c r="I7" s="126">
        <f>'DANE ZBIORCZE'!H22+'DANE ZBIORCZE'!H32</f>
        <v>3446600</v>
      </c>
      <c r="J7" s="126">
        <f>'DANE ZBIORCZE'!I22+'DANE ZBIORCZE'!I32</f>
        <v>5546600</v>
      </c>
      <c r="K7" s="126">
        <f>'DANE ZBIORCZE'!J22+'DANE ZBIORCZE'!J32</f>
        <v>5546600</v>
      </c>
      <c r="L7" s="126">
        <f>'DANE ZBIORCZE'!K22+'DANE ZBIORCZE'!K32</f>
        <v>5396600</v>
      </c>
      <c r="M7" s="126">
        <f>'DANE ZBIORCZE'!L22+'DANE ZBIORCZE'!L32</f>
        <v>5396600</v>
      </c>
    </row>
    <row r="8" spans="1:13" ht="18.75" customHeight="1">
      <c r="A8" s="401"/>
      <c r="B8" s="127"/>
      <c r="C8" s="235" t="s">
        <v>280</v>
      </c>
      <c r="D8" s="126">
        <f>'DANE ZBIORCZE'!C24</f>
        <v>5097400</v>
      </c>
      <c r="E8" s="262">
        <f>'DANE ZBIORCZE'!D24</f>
        <v>5118720</v>
      </c>
      <c r="F8" s="126">
        <f>'DANE ZBIORCZE'!E24</f>
        <v>3746600</v>
      </c>
      <c r="G8" s="126">
        <f>'DANE ZBIORCZE'!F24</f>
        <v>5621600</v>
      </c>
      <c r="H8" s="126">
        <f>'DANE ZBIORCZE'!G24</f>
        <v>2221600</v>
      </c>
      <c r="I8" s="126">
        <f>'DANE ZBIORCZE'!H24</f>
        <v>3446600</v>
      </c>
      <c r="J8" s="126">
        <f>'DANE ZBIORCZE'!I24</f>
        <v>5546600</v>
      </c>
      <c r="K8" s="126">
        <f>'DANE ZBIORCZE'!J24</f>
        <v>5546600</v>
      </c>
      <c r="L8" s="126">
        <f>'DANE ZBIORCZE'!K24</f>
        <v>5396600</v>
      </c>
      <c r="M8" s="126">
        <f>'DANE ZBIORCZE'!L24</f>
        <v>5396600</v>
      </c>
    </row>
    <row r="9" spans="1:13" ht="22.5" customHeight="1">
      <c r="A9" s="122">
        <v>2</v>
      </c>
      <c r="B9" s="391" t="s">
        <v>183</v>
      </c>
      <c r="C9" s="392"/>
      <c r="D9" s="128">
        <f>D10+D16</f>
        <v>1641483284</v>
      </c>
      <c r="E9" s="128">
        <f>E10+E16</f>
        <v>1687416014</v>
      </c>
      <c r="F9" s="128">
        <f t="shared" ref="F9:M9" si="1">F10+F16</f>
        <v>1942278345</v>
      </c>
      <c r="G9" s="128">
        <f t="shared" si="1"/>
        <v>1436438947</v>
      </c>
      <c r="H9" s="128">
        <f t="shared" si="1"/>
        <v>844486246</v>
      </c>
      <c r="I9" s="128">
        <f t="shared" si="1"/>
        <v>777629155</v>
      </c>
      <c r="J9" s="128">
        <f t="shared" si="1"/>
        <v>784954163</v>
      </c>
      <c r="K9" s="128">
        <f t="shared" si="1"/>
        <v>790626836</v>
      </c>
      <c r="L9" s="128">
        <f t="shared" si="1"/>
        <v>796020589</v>
      </c>
      <c r="M9" s="128">
        <f t="shared" si="1"/>
        <v>801825086</v>
      </c>
    </row>
    <row r="10" spans="1:13" ht="18.75" customHeight="1">
      <c r="A10" s="399"/>
      <c r="B10" s="143" t="s">
        <v>177</v>
      </c>
      <c r="C10" s="125" t="s">
        <v>184</v>
      </c>
      <c r="D10" s="129">
        <f>'DANE ZBIORCZE'!C55</f>
        <v>935540107</v>
      </c>
      <c r="E10" s="129">
        <f>'DANE ZBIORCZE'!D55</f>
        <v>1021552175</v>
      </c>
      <c r="F10" s="129">
        <f>'DANE ZBIORCZE'!E55</f>
        <v>651122632</v>
      </c>
      <c r="G10" s="129">
        <f>'DANE ZBIORCZE'!F55</f>
        <v>599362778</v>
      </c>
      <c r="H10" s="129">
        <f>'DANE ZBIORCZE'!G55</f>
        <v>541664556</v>
      </c>
      <c r="I10" s="129">
        <f>'DANE ZBIORCZE'!H55</f>
        <v>544415512</v>
      </c>
      <c r="J10" s="129">
        <f>'DANE ZBIORCZE'!I55</f>
        <v>551140323</v>
      </c>
      <c r="K10" s="129">
        <f>'DANE ZBIORCZE'!J55</f>
        <v>558317150</v>
      </c>
      <c r="L10" s="129">
        <f>'DANE ZBIORCZE'!K55</f>
        <v>565696346</v>
      </c>
      <c r="M10" s="129">
        <f>'DANE ZBIORCZE'!L55</f>
        <v>573388868</v>
      </c>
    </row>
    <row r="11" spans="1:13" ht="18.75" customHeight="1">
      <c r="A11" s="400"/>
      <c r="B11" s="124"/>
      <c r="C11" s="235" t="s">
        <v>273</v>
      </c>
      <c r="D11" s="126">
        <v>232844925</v>
      </c>
      <c r="E11" s="247">
        <v>251594395</v>
      </c>
      <c r="F11" s="247">
        <v>251594395</v>
      </c>
      <c r="G11" s="247">
        <v>251594395</v>
      </c>
      <c r="H11" s="247">
        <v>251594395</v>
      </c>
      <c r="I11" s="247">
        <v>251594395</v>
      </c>
      <c r="J11" s="247">
        <v>251594395</v>
      </c>
      <c r="K11" s="247">
        <v>251594395</v>
      </c>
      <c r="L11" s="247">
        <v>251594395</v>
      </c>
      <c r="M11" s="247">
        <v>251594395</v>
      </c>
    </row>
    <row r="12" spans="1:13" ht="18.75" customHeight="1">
      <c r="A12" s="400"/>
      <c r="B12" s="124"/>
      <c r="C12" s="235" t="s">
        <v>274</v>
      </c>
      <c r="D12" s="130">
        <v>105626584</v>
      </c>
      <c r="E12" s="247">
        <v>109936318</v>
      </c>
      <c r="F12" s="247">
        <v>109936318</v>
      </c>
      <c r="G12" s="247">
        <v>109936318</v>
      </c>
      <c r="H12" s="247">
        <v>109936318</v>
      </c>
      <c r="I12" s="247">
        <v>109936318</v>
      </c>
      <c r="J12" s="247">
        <v>109936318</v>
      </c>
      <c r="K12" s="247">
        <v>109936318</v>
      </c>
      <c r="L12" s="247">
        <v>109936318</v>
      </c>
      <c r="M12" s="247">
        <v>109936318</v>
      </c>
    </row>
    <row r="13" spans="1:13" ht="18.75" customHeight="1">
      <c r="A13" s="400"/>
      <c r="B13" s="124"/>
      <c r="C13" s="235" t="s">
        <v>275</v>
      </c>
      <c r="D13" s="130">
        <v>8100000</v>
      </c>
      <c r="E13" s="255">
        <v>8100000</v>
      </c>
      <c r="F13" s="255">
        <v>8100000</v>
      </c>
      <c r="G13" s="255">
        <v>8100000</v>
      </c>
      <c r="H13" s="255">
        <v>8100000</v>
      </c>
      <c r="I13" s="255">
        <v>8100000</v>
      </c>
      <c r="J13" s="255">
        <v>8100000</v>
      </c>
      <c r="K13" s="255">
        <v>8100000</v>
      </c>
      <c r="L13" s="255">
        <v>8100000</v>
      </c>
      <c r="M13" s="255">
        <v>8100000</v>
      </c>
    </row>
    <row r="14" spans="1:13" ht="18" customHeight="1">
      <c r="A14" s="400"/>
      <c r="B14" s="124"/>
      <c r="C14" s="236" t="s">
        <v>276</v>
      </c>
      <c r="D14" s="247">
        <f>'Koszty kredytów'!D25+'Koszty kredytów'!D33+18709</f>
        <v>10118300.15</v>
      </c>
      <c r="E14" s="229">
        <f>'Koszty kredytów'!E25+'Koszty kredytów'!E33</f>
        <v>24032905.67302537</v>
      </c>
      <c r="F14" s="229">
        <f>'Koszty kredytów'!F25+'Koszty kredytów'!F33</f>
        <v>32032140.177779589</v>
      </c>
      <c r="G14" s="229">
        <f>'Koszty kredytów'!G25+'Koszty kredytów'!G33</f>
        <v>36359185.955255747</v>
      </c>
      <c r="H14" s="229">
        <f>'Koszty kredytów'!H25+'Koszty kredytów'!H33</f>
        <v>28195725.274280824</v>
      </c>
      <c r="I14" s="229">
        <f>'Koszty kredytów'!I25+'Koszty kredytów'!I33</f>
        <v>23504528.433682192</v>
      </c>
      <c r="J14" s="229">
        <f>'Koszty kredytów'!J25+'Koszty kredytów'!J33</f>
        <v>18301198.928861644</v>
      </c>
      <c r="K14" s="229">
        <f>'Koszty kredytów'!K25+'Koszty kredytów'!K33</f>
        <v>13144685.445497263</v>
      </c>
      <c r="L14" s="229">
        <f>'Koszty kredytów'!L25+'Koszty kredytów'!L33</f>
        <v>7839823.1198753426</v>
      </c>
      <c r="M14" s="229">
        <f>'Koszty kredytów'!M25+'Koszty kredytów'!M33</f>
        <v>2944531.1887616441</v>
      </c>
    </row>
    <row r="15" spans="1:13" ht="18" customHeight="1">
      <c r="A15" s="400"/>
      <c r="B15" s="124"/>
      <c r="C15" s="237" t="s">
        <v>297</v>
      </c>
      <c r="D15" s="133">
        <v>264386504</v>
      </c>
      <c r="E15" s="256">
        <v>376813285</v>
      </c>
      <c r="F15" s="247">
        <v>112511934</v>
      </c>
      <c r="G15" s="247">
        <v>60653529</v>
      </c>
      <c r="H15" s="247">
        <v>38981649</v>
      </c>
      <c r="I15" s="247">
        <v>13672051</v>
      </c>
      <c r="J15" s="247">
        <v>12081227</v>
      </c>
      <c r="K15" s="247">
        <v>11675289</v>
      </c>
      <c r="L15" s="247">
        <v>11585343</v>
      </c>
      <c r="M15" s="247">
        <v>11630460</v>
      </c>
    </row>
    <row r="16" spans="1:13" ht="18" customHeight="1">
      <c r="A16" s="400"/>
      <c r="B16" s="143" t="s">
        <v>179</v>
      </c>
      <c r="C16" s="125" t="s">
        <v>191</v>
      </c>
      <c r="D16" s="128">
        <f>'DANE ZBIORCZE'!C56</f>
        <v>705943177</v>
      </c>
      <c r="E16" s="257">
        <f>'DANE ZBIORCZE'!D56</f>
        <v>665863839</v>
      </c>
      <c r="F16" s="257">
        <f>'DANE ZBIORCZE'!E56</f>
        <v>1291155713</v>
      </c>
      <c r="G16" s="257">
        <f>'DANE ZBIORCZE'!F56</f>
        <v>837076169</v>
      </c>
      <c r="H16" s="257">
        <f>'DANE ZBIORCZE'!G56</f>
        <v>302821690</v>
      </c>
      <c r="I16" s="257">
        <f>'DANE ZBIORCZE'!H56</f>
        <v>233213643</v>
      </c>
      <c r="J16" s="257">
        <f>'DANE ZBIORCZE'!I56</f>
        <v>233813840</v>
      </c>
      <c r="K16" s="257">
        <f>'DANE ZBIORCZE'!J56</f>
        <v>232309686</v>
      </c>
      <c r="L16" s="257">
        <f>'DANE ZBIORCZE'!K56</f>
        <v>230324243</v>
      </c>
      <c r="M16" s="257">
        <f>'DANE ZBIORCZE'!L56</f>
        <v>228436218</v>
      </c>
    </row>
    <row r="17" spans="1:13" ht="18" customHeight="1">
      <c r="A17" s="401"/>
      <c r="B17" s="124"/>
      <c r="C17" s="238" t="s">
        <v>298</v>
      </c>
      <c r="D17" s="126">
        <f>459057825</f>
        <v>459057825</v>
      </c>
      <c r="E17" s="247">
        <v>564211409</v>
      </c>
      <c r="F17" s="247">
        <v>1073379376</v>
      </c>
      <c r="G17" s="247">
        <v>657732933</v>
      </c>
      <c r="H17" s="247">
        <v>98645750</v>
      </c>
      <c r="I17" s="247">
        <v>7274064</v>
      </c>
      <c r="J17" s="247">
        <v>0</v>
      </c>
      <c r="K17" s="247">
        <v>0</v>
      </c>
      <c r="L17" s="247">
        <v>0</v>
      </c>
      <c r="M17" s="247">
        <v>0</v>
      </c>
    </row>
    <row r="18" spans="1:13" ht="23.25" customHeight="1">
      <c r="A18" s="135">
        <v>3</v>
      </c>
      <c r="B18" s="391" t="s">
        <v>194</v>
      </c>
      <c r="C18" s="392"/>
      <c r="D18" s="128">
        <f>D5-D9</f>
        <v>-266333157</v>
      </c>
      <c r="E18" s="128">
        <f>E5-E9</f>
        <v>-637335371</v>
      </c>
      <c r="F18" s="128">
        <f t="shared" ref="F18:M19" si="2">F5-F9</f>
        <v>-964984927</v>
      </c>
      <c r="G18" s="128">
        <f t="shared" si="2"/>
        <v>-577907743</v>
      </c>
      <c r="H18" s="128">
        <f t="shared" si="2"/>
        <v>-38778415</v>
      </c>
      <c r="I18" s="128">
        <f t="shared" si="2"/>
        <v>26182119</v>
      </c>
      <c r="J18" s="128">
        <f t="shared" si="2"/>
        <v>26182119</v>
      </c>
      <c r="K18" s="128">
        <f t="shared" si="2"/>
        <v>26182119</v>
      </c>
      <c r="L18" s="128">
        <f t="shared" si="2"/>
        <v>26182119</v>
      </c>
      <c r="M18" s="128">
        <f t="shared" si="2"/>
        <v>26182143</v>
      </c>
    </row>
    <row r="19" spans="1:13" ht="22.5" customHeight="1">
      <c r="A19" s="122">
        <v>4</v>
      </c>
      <c r="B19" s="391" t="s">
        <v>195</v>
      </c>
      <c r="C19" s="392"/>
      <c r="D19" s="128">
        <f>D6-D10</f>
        <v>125809543</v>
      </c>
      <c r="E19" s="128">
        <f>E6-E10</f>
        <v>-116277988</v>
      </c>
      <c r="F19" s="128">
        <f t="shared" si="2"/>
        <v>214481804</v>
      </c>
      <c r="G19" s="128">
        <f t="shared" si="2"/>
        <v>212294887</v>
      </c>
      <c r="H19" s="128">
        <f t="shared" si="2"/>
        <v>257259311</v>
      </c>
      <c r="I19" s="128">
        <f t="shared" si="2"/>
        <v>255949162</v>
      </c>
      <c r="J19" s="128">
        <f t="shared" si="2"/>
        <v>254449359</v>
      </c>
      <c r="K19" s="128">
        <f t="shared" si="2"/>
        <v>252945205</v>
      </c>
      <c r="L19" s="128">
        <f t="shared" si="2"/>
        <v>251109762</v>
      </c>
      <c r="M19" s="128">
        <f t="shared" si="2"/>
        <v>249221761</v>
      </c>
    </row>
    <row r="20" spans="1:13" ht="22.5" customHeight="1">
      <c r="A20" s="122">
        <v>5</v>
      </c>
      <c r="B20" s="391" t="s">
        <v>196</v>
      </c>
      <c r="C20" s="392"/>
      <c r="D20" s="128">
        <f>SUM(D21,D25)</f>
        <v>285485210.63999999</v>
      </c>
      <c r="E20" s="128">
        <f t="shared" ref="E20:M20" si="3">SUM(E21,E25)</f>
        <v>333954779</v>
      </c>
      <c r="F20" s="128">
        <f t="shared" si="3"/>
        <v>201089267</v>
      </c>
      <c r="G20" s="128">
        <f t="shared" si="3"/>
        <v>32965444</v>
      </c>
      <c r="H20" s="128">
        <f t="shared" si="3"/>
        <v>0</v>
      </c>
      <c r="I20" s="128">
        <f t="shared" si="3"/>
        <v>0</v>
      </c>
      <c r="J20" s="128">
        <f t="shared" si="3"/>
        <v>0</v>
      </c>
      <c r="K20" s="128">
        <f t="shared" si="3"/>
        <v>0</v>
      </c>
      <c r="L20" s="128">
        <f t="shared" si="3"/>
        <v>0</v>
      </c>
      <c r="M20" s="128">
        <f t="shared" si="3"/>
        <v>0</v>
      </c>
    </row>
    <row r="21" spans="1:13" ht="18" customHeight="1">
      <c r="A21" s="399"/>
      <c r="B21" s="136" t="s">
        <v>177</v>
      </c>
      <c r="C21" s="125" t="s">
        <v>197</v>
      </c>
      <c r="D21" s="126">
        <f>SUM(D22:D24)</f>
        <v>94521625</v>
      </c>
      <c r="E21" s="126">
        <f t="shared" ref="E21:M21" si="4">SUM(E22:E24)</f>
        <v>133550753</v>
      </c>
      <c r="F21" s="126">
        <f t="shared" si="4"/>
        <v>8036638</v>
      </c>
      <c r="G21" s="126">
        <f t="shared" si="4"/>
        <v>916664</v>
      </c>
      <c r="H21" s="126">
        <f t="shared" si="4"/>
        <v>0</v>
      </c>
      <c r="I21" s="126">
        <f t="shared" si="4"/>
        <v>0</v>
      </c>
      <c r="J21" s="126">
        <f t="shared" si="4"/>
        <v>0</v>
      </c>
      <c r="K21" s="126">
        <f t="shared" si="4"/>
        <v>0</v>
      </c>
      <c r="L21" s="126">
        <f t="shared" si="4"/>
        <v>0</v>
      </c>
      <c r="M21" s="126">
        <f t="shared" si="4"/>
        <v>0</v>
      </c>
    </row>
    <row r="22" spans="1:13" ht="18" customHeight="1">
      <c r="A22" s="400"/>
      <c r="B22" s="137"/>
      <c r="C22" s="237" t="s">
        <v>277</v>
      </c>
      <c r="D22" s="126">
        <f>'DANE ZBIORCZE'!C58</f>
        <v>0</v>
      </c>
      <c r="E22" s="126">
        <f>'DANE ZBIORCZE'!D58</f>
        <v>0</v>
      </c>
      <c r="F22" s="126">
        <f>'DANE ZBIORCZE'!E58</f>
        <v>0</v>
      </c>
      <c r="G22" s="126">
        <f>'DANE ZBIORCZE'!F58</f>
        <v>0</v>
      </c>
      <c r="H22" s="126">
        <f>'DANE ZBIORCZE'!G58</f>
        <v>0</v>
      </c>
      <c r="I22" s="126">
        <f>'DANE ZBIORCZE'!H58</f>
        <v>0</v>
      </c>
      <c r="J22" s="126">
        <f>'DANE ZBIORCZE'!I58</f>
        <v>0</v>
      </c>
      <c r="K22" s="126">
        <f>'DANE ZBIORCZE'!J58</f>
        <v>0</v>
      </c>
      <c r="L22" s="126">
        <f>'DANE ZBIORCZE'!K58</f>
        <v>0</v>
      </c>
      <c r="M22" s="126">
        <f>'DANE ZBIORCZE'!L58</f>
        <v>0</v>
      </c>
    </row>
    <row r="23" spans="1:13" ht="18" customHeight="1">
      <c r="A23" s="400"/>
      <c r="B23" s="124"/>
      <c r="C23" s="235" t="s">
        <v>278</v>
      </c>
      <c r="D23" s="126">
        <f>'DANE ZBIORCZE'!C59</f>
        <v>79310061</v>
      </c>
      <c r="E23" s="126">
        <f>'DANE ZBIORCZE'!D59</f>
        <v>125362196</v>
      </c>
      <c r="F23" s="126">
        <f>'DANE ZBIORCZE'!E59</f>
        <v>435000</v>
      </c>
      <c r="G23" s="126">
        <f>'DANE ZBIORCZE'!F59</f>
        <v>0</v>
      </c>
      <c r="H23" s="126">
        <f>'DANE ZBIORCZE'!G59</f>
        <v>0</v>
      </c>
      <c r="I23" s="126">
        <f>'DANE ZBIORCZE'!H59</f>
        <v>0</v>
      </c>
      <c r="J23" s="126">
        <f>'DANE ZBIORCZE'!I59</f>
        <v>0</v>
      </c>
      <c r="K23" s="126">
        <f>'DANE ZBIORCZE'!J59</f>
        <v>0</v>
      </c>
      <c r="L23" s="126">
        <f>'DANE ZBIORCZE'!K59</f>
        <v>0</v>
      </c>
      <c r="M23" s="126">
        <f>'DANE ZBIORCZE'!L59</f>
        <v>0</v>
      </c>
    </row>
    <row r="24" spans="1:13" ht="18" customHeight="1">
      <c r="A24" s="400"/>
      <c r="B24" s="124"/>
      <c r="C24" s="236" t="s">
        <v>279</v>
      </c>
      <c r="D24" s="126">
        <f>'DANE ZBIORCZE'!C60</f>
        <v>15211564</v>
      </c>
      <c r="E24" s="126">
        <f>'DANE ZBIORCZE'!D60</f>
        <v>8188557</v>
      </c>
      <c r="F24" s="126">
        <f>'DANE ZBIORCZE'!E60</f>
        <v>7601638</v>
      </c>
      <c r="G24" s="126">
        <f>'DANE ZBIORCZE'!F60</f>
        <v>916664</v>
      </c>
      <c r="H24" s="126">
        <f>'DANE ZBIORCZE'!G60</f>
        <v>0</v>
      </c>
      <c r="I24" s="126">
        <f>'DANE ZBIORCZE'!H60</f>
        <v>0</v>
      </c>
      <c r="J24" s="126">
        <f>'DANE ZBIORCZE'!I60</f>
        <v>0</v>
      </c>
      <c r="K24" s="126">
        <f>'DANE ZBIORCZE'!J60</f>
        <v>0</v>
      </c>
      <c r="L24" s="126">
        <f>'DANE ZBIORCZE'!K60</f>
        <v>0</v>
      </c>
      <c r="M24" s="126">
        <f>'DANE ZBIORCZE'!L60</f>
        <v>0</v>
      </c>
    </row>
    <row r="25" spans="1:13" ht="18" customHeight="1">
      <c r="A25" s="401"/>
      <c r="B25" s="124" t="s">
        <v>179</v>
      </c>
      <c r="C25" s="125" t="s">
        <v>201</v>
      </c>
      <c r="D25" s="126">
        <f>'DANE ZBIORCZE'!C61</f>
        <v>190963585.63999999</v>
      </c>
      <c r="E25" s="126">
        <f>'Zestawienie kredytów'!F36</f>
        <v>200404026</v>
      </c>
      <c r="F25" s="126">
        <f>'Zestawienie kredytów'!F48</f>
        <v>193052629</v>
      </c>
      <c r="G25" s="126">
        <f>'Zestawienie kredytów'!F61</f>
        <v>32048780</v>
      </c>
      <c r="H25" s="126">
        <v>0</v>
      </c>
      <c r="I25" s="126">
        <v>0</v>
      </c>
      <c r="J25" s="126">
        <v>0</v>
      </c>
      <c r="K25" s="126">
        <v>0</v>
      </c>
      <c r="L25" s="126">
        <v>0</v>
      </c>
      <c r="M25" s="126">
        <v>0</v>
      </c>
    </row>
    <row r="26" spans="1:13" ht="22.5" customHeight="1">
      <c r="A26" s="135">
        <v>6</v>
      </c>
      <c r="B26" s="391" t="s">
        <v>202</v>
      </c>
      <c r="C26" s="392"/>
      <c r="D26" s="128">
        <f>SUM(D27:D28)</f>
        <v>24832300.960000001</v>
      </c>
      <c r="E26" s="128">
        <f>SUM(E27:E28)</f>
        <v>85857375.639999986</v>
      </c>
      <c r="F26" s="128">
        <f t="shared" ref="F26:M26" si="5">SUM(F27:F28)</f>
        <v>68446166</v>
      </c>
      <c r="G26" s="128">
        <f t="shared" si="5"/>
        <v>96024920</v>
      </c>
      <c r="H26" s="128">
        <f t="shared" si="5"/>
        <v>93366544</v>
      </c>
      <c r="I26" s="128">
        <f t="shared" si="5"/>
        <v>93366544</v>
      </c>
      <c r="J26" s="128">
        <f t="shared" si="5"/>
        <v>93366544</v>
      </c>
      <c r="K26" s="128">
        <f t="shared" si="5"/>
        <v>93366544</v>
      </c>
      <c r="L26" s="128">
        <f t="shared" si="5"/>
        <v>93366544</v>
      </c>
      <c r="M26" s="128">
        <f t="shared" si="5"/>
        <v>93366567.810000002</v>
      </c>
    </row>
    <row r="27" spans="1:13" ht="18" customHeight="1">
      <c r="A27" s="399"/>
      <c r="B27" s="136" t="s">
        <v>177</v>
      </c>
      <c r="C27" s="125" t="s">
        <v>203</v>
      </c>
      <c r="D27" s="126">
        <f>'DANE ZBIORCZE'!C63</f>
        <v>22177476.960000001</v>
      </c>
      <c r="E27" s="126">
        <f>'DANE ZBIORCZE'!D63</f>
        <v>43395713.639999993</v>
      </c>
      <c r="F27" s="126">
        <f>'DANE ZBIORCZE'!E63</f>
        <v>68446166</v>
      </c>
      <c r="G27" s="126">
        <f>'DANE ZBIORCZE'!F63</f>
        <v>96024920</v>
      </c>
      <c r="H27" s="126">
        <f>'DANE ZBIORCZE'!G63</f>
        <v>93366544</v>
      </c>
      <c r="I27" s="126">
        <f>'DANE ZBIORCZE'!H63</f>
        <v>93366544</v>
      </c>
      <c r="J27" s="126">
        <f>'DANE ZBIORCZE'!I63</f>
        <v>93366544</v>
      </c>
      <c r="K27" s="126">
        <f>'DANE ZBIORCZE'!J63</f>
        <v>93366544</v>
      </c>
      <c r="L27" s="126">
        <f>'DANE ZBIORCZE'!K63</f>
        <v>93366544</v>
      </c>
      <c r="M27" s="126">
        <f>'DANE ZBIORCZE'!L63</f>
        <v>93366567.810000002</v>
      </c>
    </row>
    <row r="28" spans="1:13" ht="18" customHeight="1">
      <c r="A28" s="401"/>
      <c r="B28" s="124" t="s">
        <v>179</v>
      </c>
      <c r="C28" s="125" t="s">
        <v>204</v>
      </c>
      <c r="D28" s="126">
        <f>'DANE ZBIORCZE'!C64</f>
        <v>2654824</v>
      </c>
      <c r="E28" s="126">
        <f>'DANE ZBIORCZE'!D64</f>
        <v>42461662</v>
      </c>
      <c r="F28" s="126">
        <f>'DANE ZBIORCZE'!E64</f>
        <v>0</v>
      </c>
      <c r="G28" s="126">
        <f>'DANE ZBIORCZE'!F64</f>
        <v>0</v>
      </c>
      <c r="H28" s="126">
        <f>'DANE ZBIORCZE'!G64</f>
        <v>0</v>
      </c>
      <c r="I28" s="126">
        <f>'DANE ZBIORCZE'!H64</f>
        <v>0</v>
      </c>
      <c r="J28" s="126">
        <f>'DANE ZBIORCZE'!I64</f>
        <v>0</v>
      </c>
      <c r="K28" s="126">
        <f>'DANE ZBIORCZE'!J64</f>
        <v>0</v>
      </c>
      <c r="L28" s="126">
        <f>'DANE ZBIORCZE'!K64</f>
        <v>0</v>
      </c>
      <c r="M28" s="138">
        <f>'DANE ZBIORCZE'!L64</f>
        <v>0</v>
      </c>
    </row>
    <row r="29" spans="1:13" ht="22.5" customHeight="1" thickBot="1">
      <c r="A29" s="139">
        <v>7</v>
      </c>
      <c r="B29" s="402" t="s">
        <v>205</v>
      </c>
      <c r="C29" s="403"/>
      <c r="D29" s="140">
        <f>D5+D20-D9-D26</f>
        <v>-5680247.3200001344</v>
      </c>
      <c r="E29" s="140">
        <f>E5+E20-E9-E26</f>
        <v>-389237967.63999999</v>
      </c>
      <c r="F29" s="140">
        <f t="shared" ref="F29:M29" si="6">F5+F20-F9-F26</f>
        <v>-832341826</v>
      </c>
      <c r="G29" s="140">
        <f t="shared" si="6"/>
        <v>-640967219</v>
      </c>
      <c r="H29" s="140">
        <f t="shared" si="6"/>
        <v>-132144959</v>
      </c>
      <c r="I29" s="140">
        <f t="shared" si="6"/>
        <v>-67184425</v>
      </c>
      <c r="J29" s="140">
        <f t="shared" si="6"/>
        <v>-67184425</v>
      </c>
      <c r="K29" s="140">
        <f t="shared" si="6"/>
        <v>-67184425</v>
      </c>
      <c r="L29" s="140">
        <f t="shared" si="6"/>
        <v>-67184425</v>
      </c>
      <c r="M29" s="140">
        <f t="shared" si="6"/>
        <v>-67184424.810000002</v>
      </c>
    </row>
    <row r="30" spans="1:13" ht="22.5" customHeight="1">
      <c r="A30" s="141">
        <v>8</v>
      </c>
      <c r="B30" s="397" t="s">
        <v>281</v>
      </c>
      <c r="C30" s="398"/>
      <c r="D30" s="142">
        <f>'Koszty kredytów'!D34</f>
        <v>342571452.44999999</v>
      </c>
      <c r="E30" s="142">
        <f>'Koszty kredytów'!E34</f>
        <v>499568964.81000006</v>
      </c>
      <c r="F30" s="142">
        <f>'Koszty kredytów'!F34</f>
        <v>624175427.81000006</v>
      </c>
      <c r="G30" s="142">
        <f>'Koszty kredytów'!G34</f>
        <v>560199287.81000006</v>
      </c>
      <c r="H30" s="142">
        <f>'Koszty kredytów'!H34</f>
        <v>466832743.81000006</v>
      </c>
      <c r="I30" s="142">
        <f>'Koszty kredytów'!I34</f>
        <v>373466199.81000006</v>
      </c>
      <c r="J30" s="142">
        <f>'Koszty kredytów'!J34</f>
        <v>280099655.81000006</v>
      </c>
      <c r="K30" s="142">
        <f>'Koszty kredytów'!K34</f>
        <v>186733111.81000006</v>
      </c>
      <c r="L30" s="142">
        <f>'Koszty kredytów'!L34</f>
        <v>93366567.810000062</v>
      </c>
      <c r="M30" s="142">
        <f>'Koszty kredytów'!M34</f>
        <v>0</v>
      </c>
    </row>
    <row r="31" spans="1:13" ht="19.5" customHeight="1">
      <c r="A31" s="143">
        <v>9</v>
      </c>
      <c r="B31" s="391" t="s">
        <v>284</v>
      </c>
      <c r="C31" s="392"/>
      <c r="D31" s="319"/>
      <c r="E31" s="126"/>
      <c r="F31" s="126"/>
      <c r="G31" s="126"/>
      <c r="H31" s="126"/>
      <c r="I31" s="126"/>
      <c r="J31" s="126"/>
      <c r="K31" s="126"/>
      <c r="L31" s="126"/>
      <c r="M31" s="126"/>
    </row>
    <row r="32" spans="1:13" ht="18" customHeight="1">
      <c r="A32" s="399"/>
      <c r="B32" s="136" t="s">
        <v>177</v>
      </c>
      <c r="C32" s="125" t="s">
        <v>282</v>
      </c>
      <c r="D32" s="226">
        <f>(D13+D14+D27)/D5</f>
        <v>2.9375539671531441E-2</v>
      </c>
      <c r="E32" s="226">
        <f t="shared" ref="E32:M32" si="7">(E13+E14+E27)/E5</f>
        <v>7.1926494233096105E-2</v>
      </c>
      <c r="F32" s="226">
        <f t="shared" si="7"/>
        <v>0.11110103084494485</v>
      </c>
      <c r="G32" s="226">
        <f t="shared" si="7"/>
        <v>0.16363308089528186</v>
      </c>
      <c r="H32" s="226">
        <f t="shared" si="7"/>
        <v>0.16092963762478413</v>
      </c>
      <c r="I32" s="226">
        <f t="shared" si="7"/>
        <v>0.15547315206440135</v>
      </c>
      <c r="J32" s="226">
        <f t="shared" si="7"/>
        <v>0.14765427904858736</v>
      </c>
      <c r="K32" s="226">
        <f t="shared" si="7"/>
        <v>0.14031583364006736</v>
      </c>
      <c r="L32" s="226">
        <f t="shared" si="7"/>
        <v>0.13294333143922865</v>
      </c>
      <c r="M32" s="226">
        <f t="shared" si="7"/>
        <v>0.12609926017778963</v>
      </c>
    </row>
    <row r="33" spans="1:13" ht="18" customHeight="1">
      <c r="A33" s="401"/>
      <c r="B33" s="136" t="s">
        <v>179</v>
      </c>
      <c r="C33" s="125" t="s">
        <v>283</v>
      </c>
      <c r="D33" s="226">
        <f>('wielkości początkowe'!D12+'wielkości początkowe'!E12+'wielkości początkowe'!F12)/3</f>
        <v>0.14717025849947621</v>
      </c>
      <c r="E33" s="226">
        <f>('wielkości początkowe'!E12+'wielkości początkowe'!F12+'wielkości początkowe'!G12)/3</f>
        <v>0.14131935516288571</v>
      </c>
      <c r="F33" s="226">
        <f>('wielkości początkowe'!F12+'wielkości początkowe'!G12+'wielkości początkowe'!H12)/3</f>
        <v>0.13666530467221541</v>
      </c>
      <c r="G33" s="226">
        <f>('wielkości początkowe'!G12+'wielkości początkowe'!H12+'wielkości początkowe'!I12)/3</f>
        <v>0.15562417494074177</v>
      </c>
      <c r="H33" s="226">
        <f>('wielkości początkowe'!H12+'wielkości początkowe'!I12+'wielkości początkowe'!J12)/3</f>
        <v>0.16772448800983067</v>
      </c>
      <c r="I33" s="226">
        <f>('wielkości początkowe'!I12+'wielkości początkowe'!J12+'wielkości początkowe'!K12)/3</f>
        <v>0.26841236779994587</v>
      </c>
      <c r="J33" s="226">
        <f>('wielkości początkowe'!J12+'wielkości początkowe'!K12+'wielkości początkowe'!L12)/3</f>
        <v>0.31452113021796463</v>
      </c>
      <c r="K33" s="226">
        <f>('wielkości początkowe'!K12+'wielkości początkowe'!L12+'wielkości początkowe'!M12)/3</f>
        <v>0.3574074663118087</v>
      </c>
      <c r="L33" s="226">
        <f>('wielkości początkowe'!L12+'wielkości początkowe'!M12+'wielkości początkowe'!N12)/3</f>
        <v>0.35088495292773741</v>
      </c>
      <c r="M33" s="226">
        <f>('wielkości początkowe'!M12+'wielkości początkowe'!N12+'wielkości początkowe'!O12)/3</f>
        <v>0.34736390473170892</v>
      </c>
    </row>
    <row r="34" spans="1:13" ht="22.5" customHeight="1">
      <c r="A34" s="143">
        <v>10</v>
      </c>
      <c r="B34" s="391" t="s">
        <v>212</v>
      </c>
      <c r="C34" s="392"/>
      <c r="D34" s="225" t="str">
        <f>IF(D32&lt;=D33,"TAK","NIE")</f>
        <v>TAK</v>
      </c>
      <c r="E34" s="225" t="str">
        <f t="shared" ref="E34:M34" si="8">IF(E32&lt;=E33,"TAK","NIE")</f>
        <v>TAK</v>
      </c>
      <c r="F34" s="225" t="str">
        <f t="shared" si="8"/>
        <v>TAK</v>
      </c>
      <c r="G34" s="225" t="str">
        <f t="shared" si="8"/>
        <v>NIE</v>
      </c>
      <c r="H34" s="225" t="str">
        <f t="shared" si="8"/>
        <v>TAK</v>
      </c>
      <c r="I34" s="225" t="str">
        <f t="shared" si="8"/>
        <v>TAK</v>
      </c>
      <c r="J34" s="225" t="str">
        <f t="shared" si="8"/>
        <v>TAK</v>
      </c>
      <c r="K34" s="225" t="str">
        <f t="shared" si="8"/>
        <v>TAK</v>
      </c>
      <c r="L34" s="225" t="str">
        <f t="shared" si="8"/>
        <v>TAK</v>
      </c>
      <c r="M34" s="225" t="str">
        <f t="shared" si="8"/>
        <v>TAK</v>
      </c>
    </row>
    <row r="35" spans="1:13" ht="36" customHeight="1">
      <c r="A35" s="143">
        <v>11</v>
      </c>
      <c r="B35" s="391" t="s">
        <v>214</v>
      </c>
      <c r="C35" s="392"/>
      <c r="D35" s="227">
        <f>D30/D5</f>
        <v>0.24911567524438005</v>
      </c>
      <c r="E35" s="227">
        <f t="shared" ref="E35:M35" si="9">E30/E5</f>
        <v>0.47574342803117459</v>
      </c>
      <c r="F35" s="227">
        <f t="shared" si="9"/>
        <v>0.63867761341046914</v>
      </c>
      <c r="G35" s="227">
        <f t="shared" si="9"/>
        <v>0.6525089422492325</v>
      </c>
      <c r="H35" s="227">
        <f t="shared" si="9"/>
        <v>0.57940698333612206</v>
      </c>
      <c r="I35" s="227">
        <f t="shared" si="9"/>
        <v>0.46461926062758863</v>
      </c>
      <c r="J35" s="227">
        <f t="shared" si="9"/>
        <v>0.34531762667472449</v>
      </c>
      <c r="K35" s="227">
        <f t="shared" si="9"/>
        <v>0.22861295859568539</v>
      </c>
      <c r="L35" s="227">
        <f t="shared" si="9"/>
        <v>0.11355662892076009</v>
      </c>
      <c r="M35" s="227">
        <f t="shared" si="9"/>
        <v>0</v>
      </c>
    </row>
    <row r="36" spans="1:13" ht="36" customHeight="1" thickBot="1">
      <c r="A36" s="146">
        <v>12</v>
      </c>
      <c r="B36" s="402" t="s">
        <v>285</v>
      </c>
      <c r="C36" s="403"/>
      <c r="D36" s="228">
        <f>(D13+D14+D27)/D5</f>
        <v>2.9375539671531441E-2</v>
      </c>
      <c r="E36" s="228">
        <f t="shared" ref="E36:M36" si="10">(E13+E14+E27)/E5</f>
        <v>7.1926494233096105E-2</v>
      </c>
      <c r="F36" s="228">
        <f t="shared" si="10"/>
        <v>0.11110103084494485</v>
      </c>
      <c r="G36" s="228">
        <f t="shared" si="10"/>
        <v>0.16363308089528186</v>
      </c>
      <c r="H36" s="228">
        <f t="shared" si="10"/>
        <v>0.16092963762478413</v>
      </c>
      <c r="I36" s="228">
        <f t="shared" si="10"/>
        <v>0.15547315206440135</v>
      </c>
      <c r="J36" s="228">
        <f t="shared" si="10"/>
        <v>0.14765427904858736</v>
      </c>
      <c r="K36" s="228">
        <f t="shared" si="10"/>
        <v>0.14031583364006736</v>
      </c>
      <c r="L36" s="228">
        <f t="shared" si="10"/>
        <v>0.13294333143922865</v>
      </c>
      <c r="M36" s="228">
        <f t="shared" si="10"/>
        <v>0.12609926017778963</v>
      </c>
    </row>
    <row r="37" spans="1:13" ht="28.5" customHeight="1" thickBot="1">
      <c r="A37" s="147"/>
      <c r="B37" s="147"/>
      <c r="C37" s="148"/>
      <c r="D37" s="148"/>
      <c r="E37" s="149"/>
      <c r="F37" s="149"/>
      <c r="G37" s="149"/>
      <c r="H37" s="149"/>
      <c r="I37" s="149"/>
      <c r="J37" s="149"/>
      <c r="K37" s="149"/>
      <c r="L37" s="149"/>
      <c r="M37" s="149"/>
    </row>
    <row r="38" spans="1:13" ht="21.6" customHeight="1">
      <c r="A38" s="150">
        <v>13</v>
      </c>
      <c r="B38" s="397" t="s">
        <v>215</v>
      </c>
      <c r="C38" s="398"/>
      <c r="D38" s="142">
        <f>SUM(D39:D45)</f>
        <v>22177476.960000001</v>
      </c>
      <c r="E38" s="142">
        <f t="shared" ref="E38:M38" si="11">SUM(E39:E45)</f>
        <v>43395713.639999993</v>
      </c>
      <c r="F38" s="142">
        <f t="shared" si="11"/>
        <v>68446166</v>
      </c>
      <c r="G38" s="142">
        <f t="shared" si="11"/>
        <v>96024920</v>
      </c>
      <c r="H38" s="142">
        <f t="shared" si="11"/>
        <v>93366544</v>
      </c>
      <c r="I38" s="142">
        <f t="shared" si="11"/>
        <v>93366544</v>
      </c>
      <c r="J38" s="142">
        <f t="shared" si="11"/>
        <v>93366544</v>
      </c>
      <c r="K38" s="142">
        <f t="shared" si="11"/>
        <v>93366544</v>
      </c>
      <c r="L38" s="142">
        <f t="shared" si="11"/>
        <v>93366544</v>
      </c>
      <c r="M38" s="142">
        <f t="shared" si="11"/>
        <v>93366567.810000002</v>
      </c>
    </row>
    <row r="39" spans="1:13" ht="15">
      <c r="A39" s="399"/>
      <c r="B39" s="124" t="s">
        <v>177</v>
      </c>
      <c r="C39" s="125" t="s">
        <v>216</v>
      </c>
      <c r="D39" s="248">
        <f>D27</f>
        <v>22177476.960000001</v>
      </c>
      <c r="E39" s="248">
        <f>E27</f>
        <v>43395713.639999993</v>
      </c>
      <c r="F39" s="248">
        <f>F27-F43</f>
        <v>-5822876</v>
      </c>
      <c r="G39" s="248">
        <f>G27-G43</f>
        <v>63976140</v>
      </c>
      <c r="H39" s="248">
        <f t="shared" ref="H39:M39" si="12">H27</f>
        <v>93366544</v>
      </c>
      <c r="I39" s="248">
        <f t="shared" si="12"/>
        <v>93366544</v>
      </c>
      <c r="J39" s="248">
        <f t="shared" si="12"/>
        <v>93366544</v>
      </c>
      <c r="K39" s="248">
        <f t="shared" si="12"/>
        <v>93366544</v>
      </c>
      <c r="L39" s="248">
        <f t="shared" si="12"/>
        <v>93366544</v>
      </c>
      <c r="M39" s="248">
        <f t="shared" si="12"/>
        <v>93366567.810000002</v>
      </c>
    </row>
    <row r="40" spans="1:13" ht="15">
      <c r="A40" s="400"/>
      <c r="B40" s="124" t="s">
        <v>179</v>
      </c>
      <c r="C40" s="125" t="s">
        <v>198</v>
      </c>
      <c r="D40" s="248"/>
      <c r="E40" s="138">
        <v>0</v>
      </c>
      <c r="F40" s="126">
        <v>0</v>
      </c>
      <c r="G40" s="126">
        <v>0</v>
      </c>
      <c r="H40" s="126">
        <v>0</v>
      </c>
      <c r="I40" s="126">
        <v>0</v>
      </c>
      <c r="J40" s="126">
        <v>0</v>
      </c>
      <c r="K40" s="126">
        <v>0</v>
      </c>
      <c r="L40" s="126">
        <v>0</v>
      </c>
      <c r="M40" s="126">
        <v>0</v>
      </c>
    </row>
    <row r="41" spans="1:13" ht="15">
      <c r="A41" s="400"/>
      <c r="B41" s="124" t="s">
        <v>181</v>
      </c>
      <c r="C41" s="125" t="s">
        <v>199</v>
      </c>
      <c r="D41" s="248"/>
      <c r="E41" s="138">
        <v>0</v>
      </c>
      <c r="F41" s="126">
        <v>0</v>
      </c>
      <c r="G41" s="126">
        <v>0</v>
      </c>
      <c r="H41" s="126">
        <v>0</v>
      </c>
      <c r="I41" s="126">
        <v>0</v>
      </c>
      <c r="J41" s="126">
        <v>0</v>
      </c>
      <c r="K41" s="126">
        <v>0</v>
      </c>
      <c r="L41" s="126">
        <v>0</v>
      </c>
      <c r="M41" s="126">
        <v>0</v>
      </c>
    </row>
    <row r="42" spans="1:13" ht="15">
      <c r="A42" s="400"/>
      <c r="B42" s="124" t="s">
        <v>185</v>
      </c>
      <c r="C42" s="125" t="s">
        <v>218</v>
      </c>
      <c r="D42" s="248"/>
      <c r="E42" s="138">
        <v>0</v>
      </c>
      <c r="F42" s="126">
        <v>0</v>
      </c>
      <c r="G42" s="126">
        <v>0</v>
      </c>
      <c r="H42" s="126">
        <v>0</v>
      </c>
      <c r="I42" s="126">
        <v>0</v>
      </c>
      <c r="J42" s="126">
        <v>0</v>
      </c>
      <c r="K42" s="126">
        <v>0</v>
      </c>
      <c r="L42" s="126">
        <v>0</v>
      </c>
      <c r="M42" s="126">
        <v>0</v>
      </c>
    </row>
    <row r="43" spans="1:13" ht="15">
      <c r="A43" s="400"/>
      <c r="B43" s="124" t="s">
        <v>187</v>
      </c>
      <c r="C43" s="125" t="s">
        <v>219</v>
      </c>
      <c r="D43" s="248"/>
      <c r="E43" s="138">
        <v>0</v>
      </c>
      <c r="F43" s="126">
        <v>74269042</v>
      </c>
      <c r="G43" s="126">
        <f>G25</f>
        <v>32048780</v>
      </c>
      <c r="H43" s="126">
        <v>0</v>
      </c>
      <c r="I43" s="126">
        <v>0</v>
      </c>
      <c r="J43" s="126">
        <v>0</v>
      </c>
      <c r="K43" s="126">
        <v>0</v>
      </c>
      <c r="L43" s="126">
        <v>0</v>
      </c>
      <c r="M43" s="126">
        <v>0</v>
      </c>
    </row>
    <row r="44" spans="1:13" ht="15">
      <c r="A44" s="400"/>
      <c r="B44" s="124" t="s">
        <v>188</v>
      </c>
      <c r="C44" s="125" t="s">
        <v>220</v>
      </c>
      <c r="D44" s="248"/>
      <c r="E44" s="138">
        <v>0</v>
      </c>
      <c r="F44" s="126">
        <v>0</v>
      </c>
      <c r="G44" s="126">
        <v>0</v>
      </c>
      <c r="H44" s="126">
        <v>0</v>
      </c>
      <c r="I44" s="126">
        <v>0</v>
      </c>
      <c r="J44" s="126">
        <v>0</v>
      </c>
      <c r="K44" s="126">
        <v>0</v>
      </c>
      <c r="L44" s="126">
        <v>0</v>
      </c>
      <c r="M44" s="126">
        <v>0</v>
      </c>
    </row>
    <row r="45" spans="1:13" ht="15.75" thickBot="1">
      <c r="A45" s="404"/>
      <c r="B45" s="157" t="s">
        <v>190</v>
      </c>
      <c r="C45" s="158" t="s">
        <v>221</v>
      </c>
      <c r="D45" s="249"/>
      <c r="E45" s="250">
        <v>0</v>
      </c>
      <c r="F45" s="167">
        <v>0</v>
      </c>
      <c r="G45" s="167">
        <v>0</v>
      </c>
      <c r="H45" s="167">
        <v>0</v>
      </c>
      <c r="I45" s="167">
        <v>0</v>
      </c>
      <c r="J45" s="167">
        <v>0</v>
      </c>
      <c r="K45" s="167">
        <v>0</v>
      </c>
      <c r="L45" s="167">
        <v>0</v>
      </c>
      <c r="M45" s="167">
        <v>0</v>
      </c>
    </row>
    <row r="46" spans="1:13" ht="29.25" customHeight="1" thickBot="1">
      <c r="A46" s="161"/>
      <c r="B46" s="161"/>
      <c r="C46" s="162"/>
      <c r="D46" s="251"/>
      <c r="E46" s="252"/>
      <c r="F46" s="252"/>
      <c r="G46" s="252"/>
      <c r="H46" s="252"/>
      <c r="I46" s="252"/>
      <c r="J46" s="252"/>
      <c r="K46" s="252"/>
      <c r="L46" s="252"/>
      <c r="M46" s="252"/>
    </row>
    <row r="47" spans="1:13" ht="21.6" customHeight="1">
      <c r="A47" s="150">
        <v>14</v>
      </c>
      <c r="B47" s="397" t="s">
        <v>222</v>
      </c>
      <c r="C47" s="398"/>
      <c r="D47" s="142"/>
      <c r="E47" s="266">
        <f t="shared" ref="E47:M47" si="13">SUM(E48:E52)</f>
        <v>0</v>
      </c>
      <c r="F47" s="267">
        <f t="shared" si="13"/>
        <v>0</v>
      </c>
      <c r="G47" s="266">
        <f t="shared" si="13"/>
        <v>-577907743</v>
      </c>
      <c r="H47" s="266">
        <f t="shared" si="13"/>
        <v>-38778415</v>
      </c>
      <c r="I47" s="266">
        <f t="shared" si="13"/>
        <v>26182119</v>
      </c>
      <c r="J47" s="266">
        <f t="shared" si="13"/>
        <v>26182119</v>
      </c>
      <c r="K47" s="266">
        <f t="shared" si="13"/>
        <v>26182119</v>
      </c>
      <c r="L47" s="266">
        <f t="shared" si="13"/>
        <v>26182119</v>
      </c>
      <c r="M47" s="266">
        <f t="shared" si="13"/>
        <v>26182143</v>
      </c>
    </row>
    <row r="48" spans="1:13" ht="15">
      <c r="A48" s="399"/>
      <c r="B48" s="124" t="s">
        <v>177</v>
      </c>
      <c r="C48" s="125" t="s">
        <v>223</v>
      </c>
      <c r="D48" s="248"/>
      <c r="E48" s="126">
        <v>0</v>
      </c>
      <c r="F48" s="166">
        <v>0</v>
      </c>
      <c r="G48" s="126">
        <v>0</v>
      </c>
      <c r="H48" s="126">
        <v>0</v>
      </c>
      <c r="I48" s="126">
        <v>0</v>
      </c>
      <c r="J48" s="126">
        <v>0</v>
      </c>
      <c r="K48" s="126">
        <v>0</v>
      </c>
      <c r="L48" s="126">
        <v>0</v>
      </c>
      <c r="M48" s="126">
        <v>0</v>
      </c>
    </row>
    <row r="49" spans="1:13" ht="15">
      <c r="A49" s="400"/>
      <c r="B49" s="124" t="s">
        <v>179</v>
      </c>
      <c r="C49" s="125" t="s">
        <v>224</v>
      </c>
      <c r="D49" s="248"/>
      <c r="E49" s="126">
        <v>0</v>
      </c>
      <c r="F49" s="166">
        <v>0</v>
      </c>
      <c r="G49" s="126">
        <v>0</v>
      </c>
      <c r="H49" s="126">
        <v>0</v>
      </c>
      <c r="I49" s="126">
        <v>0</v>
      </c>
      <c r="J49" s="126">
        <v>0</v>
      </c>
      <c r="K49" s="126">
        <v>0</v>
      </c>
      <c r="L49" s="126">
        <v>0</v>
      </c>
      <c r="M49" s="126">
        <v>0</v>
      </c>
    </row>
    <row r="50" spans="1:13" ht="15">
      <c r="A50" s="400"/>
      <c r="B50" s="124" t="s">
        <v>181</v>
      </c>
      <c r="C50" s="125" t="s">
        <v>225</v>
      </c>
      <c r="D50" s="248"/>
      <c r="E50" s="126">
        <v>0</v>
      </c>
      <c r="F50" s="166">
        <v>0</v>
      </c>
      <c r="G50" s="126">
        <v>0</v>
      </c>
      <c r="H50" s="126">
        <v>0</v>
      </c>
      <c r="I50" s="126">
        <v>0</v>
      </c>
      <c r="J50" s="126">
        <v>0</v>
      </c>
      <c r="K50" s="126">
        <v>0</v>
      </c>
      <c r="L50" s="126">
        <v>0</v>
      </c>
      <c r="M50" s="126">
        <v>0</v>
      </c>
    </row>
    <row r="51" spans="1:13" ht="15">
      <c r="A51" s="400"/>
      <c r="B51" s="124" t="s">
        <v>185</v>
      </c>
      <c r="C51" s="125" t="s">
        <v>226</v>
      </c>
      <c r="D51" s="248"/>
      <c r="E51" s="126">
        <v>0</v>
      </c>
      <c r="F51" s="166">
        <v>0</v>
      </c>
      <c r="G51" s="126">
        <v>0</v>
      </c>
      <c r="H51" s="126">
        <v>0</v>
      </c>
      <c r="I51" s="126">
        <v>0</v>
      </c>
      <c r="J51" s="126">
        <v>0</v>
      </c>
      <c r="K51" s="126">
        <v>0</v>
      </c>
      <c r="L51" s="126">
        <v>0</v>
      </c>
      <c r="M51" s="126">
        <v>0</v>
      </c>
    </row>
    <row r="52" spans="1:13" ht="15">
      <c r="A52" s="401"/>
      <c r="B52" s="124" t="s">
        <v>187</v>
      </c>
      <c r="C52" s="125" t="s">
        <v>227</v>
      </c>
      <c r="D52" s="248"/>
      <c r="E52" s="126">
        <v>0</v>
      </c>
      <c r="F52" s="166">
        <v>0</v>
      </c>
      <c r="G52" s="126">
        <f t="shared" ref="G52:M52" si="14">G18</f>
        <v>-577907743</v>
      </c>
      <c r="H52" s="126">
        <f t="shared" si="14"/>
        <v>-38778415</v>
      </c>
      <c r="I52" s="126">
        <f t="shared" si="14"/>
        <v>26182119</v>
      </c>
      <c r="J52" s="126">
        <f t="shared" si="14"/>
        <v>26182119</v>
      </c>
      <c r="K52" s="126">
        <f t="shared" si="14"/>
        <v>26182119</v>
      </c>
      <c r="L52" s="126">
        <f t="shared" si="14"/>
        <v>26182119</v>
      </c>
      <c r="M52" s="126">
        <f t="shared" si="14"/>
        <v>26182143</v>
      </c>
    </row>
    <row r="53" spans="1:13" ht="21.6" customHeight="1">
      <c r="A53" s="135">
        <v>15</v>
      </c>
      <c r="B53" s="391" t="s">
        <v>228</v>
      </c>
      <c r="C53" s="392"/>
      <c r="D53" s="253">
        <f>D18</f>
        <v>-266333157</v>
      </c>
      <c r="E53" s="253">
        <f>E18</f>
        <v>-637335371</v>
      </c>
      <c r="F53" s="253">
        <f>F18</f>
        <v>-964984927</v>
      </c>
      <c r="G53" s="128">
        <v>0</v>
      </c>
      <c r="H53" s="128">
        <v>0</v>
      </c>
      <c r="I53" s="128">
        <v>0</v>
      </c>
      <c r="J53" s="128">
        <v>0</v>
      </c>
      <c r="K53" s="128">
        <v>0</v>
      </c>
      <c r="L53" s="128">
        <v>0</v>
      </c>
      <c r="M53" s="128">
        <v>0</v>
      </c>
    </row>
    <row r="54" spans="1:13" ht="15">
      <c r="A54" s="399"/>
      <c r="B54" s="124" t="s">
        <v>177</v>
      </c>
      <c r="C54" s="125" t="s">
        <v>229</v>
      </c>
      <c r="D54" s="248"/>
      <c r="E54" s="126">
        <v>0</v>
      </c>
      <c r="F54" s="166">
        <v>0</v>
      </c>
      <c r="G54" s="126">
        <v>0</v>
      </c>
      <c r="H54" s="126">
        <v>0</v>
      </c>
      <c r="I54" s="126">
        <v>0</v>
      </c>
      <c r="J54" s="126">
        <v>0</v>
      </c>
      <c r="K54" s="126">
        <v>0</v>
      </c>
      <c r="L54" s="126">
        <v>0</v>
      </c>
      <c r="M54" s="126">
        <v>0</v>
      </c>
    </row>
    <row r="55" spans="1:13" ht="15">
      <c r="A55" s="400"/>
      <c r="B55" s="124" t="s">
        <v>179</v>
      </c>
      <c r="C55" s="125" t="s">
        <v>230</v>
      </c>
      <c r="D55" s="248">
        <f>D25</f>
        <v>190963585.63999999</v>
      </c>
      <c r="E55" s="248">
        <f>E25</f>
        <v>200404026</v>
      </c>
      <c r="F55" s="248">
        <v>18783095</v>
      </c>
      <c r="G55" s="126">
        <v>0</v>
      </c>
      <c r="H55" s="126">
        <v>0</v>
      </c>
      <c r="I55" s="126">
        <v>0</v>
      </c>
      <c r="J55" s="126">
        <v>0</v>
      </c>
      <c r="K55" s="126">
        <v>0</v>
      </c>
      <c r="L55" s="126">
        <v>0</v>
      </c>
      <c r="M55" s="126">
        <v>0</v>
      </c>
    </row>
    <row r="56" spans="1:13" ht="15">
      <c r="A56" s="400"/>
      <c r="B56" s="124" t="s">
        <v>181</v>
      </c>
      <c r="C56" s="125" t="s">
        <v>221</v>
      </c>
      <c r="D56" s="248"/>
      <c r="E56" s="126">
        <v>0</v>
      </c>
      <c r="F56" s="166">
        <v>0</v>
      </c>
      <c r="G56" s="126">
        <v>0</v>
      </c>
      <c r="H56" s="166">
        <v>0</v>
      </c>
      <c r="I56" s="126">
        <v>0</v>
      </c>
      <c r="J56" s="166">
        <v>0</v>
      </c>
      <c r="K56" s="126">
        <v>0</v>
      </c>
      <c r="L56" s="166">
        <v>0</v>
      </c>
      <c r="M56" s="126">
        <v>0</v>
      </c>
    </row>
    <row r="57" spans="1:13" ht="15">
      <c r="A57" s="400"/>
      <c r="B57" s="124" t="s">
        <v>185</v>
      </c>
      <c r="C57" s="125" t="s">
        <v>218</v>
      </c>
      <c r="D57" s="248"/>
      <c r="E57" s="126">
        <v>0</v>
      </c>
      <c r="F57" s="166">
        <v>0</v>
      </c>
      <c r="G57" s="126">
        <v>0</v>
      </c>
      <c r="H57" s="166">
        <v>0</v>
      </c>
      <c r="I57" s="126">
        <v>0</v>
      </c>
      <c r="J57" s="166">
        <v>0</v>
      </c>
      <c r="K57" s="126">
        <v>0</v>
      </c>
      <c r="L57" s="166">
        <v>0</v>
      </c>
      <c r="M57" s="126">
        <v>0</v>
      </c>
    </row>
    <row r="58" spans="1:13" ht="15">
      <c r="A58" s="400"/>
      <c r="B58" s="124" t="s">
        <v>187</v>
      </c>
      <c r="C58" s="125" t="s">
        <v>220</v>
      </c>
      <c r="D58" s="248">
        <f>D24</f>
        <v>15211564</v>
      </c>
      <c r="E58" s="248">
        <v>0</v>
      </c>
      <c r="F58" s="248">
        <v>0</v>
      </c>
      <c r="G58" s="126">
        <v>0</v>
      </c>
      <c r="H58" s="166">
        <v>0</v>
      </c>
      <c r="I58" s="126">
        <v>0</v>
      </c>
      <c r="J58" s="166">
        <v>0</v>
      </c>
      <c r="K58" s="126">
        <v>0</v>
      </c>
      <c r="L58" s="166">
        <v>0</v>
      </c>
      <c r="M58" s="126">
        <v>0</v>
      </c>
    </row>
    <row r="59" spans="1:13" ht="15">
      <c r="A59" s="400"/>
      <c r="B59" s="124" t="s">
        <v>188</v>
      </c>
      <c r="C59" s="125" t="s">
        <v>217</v>
      </c>
      <c r="D59" s="248"/>
      <c r="E59" s="126">
        <v>0</v>
      </c>
      <c r="F59" s="166">
        <v>0</v>
      </c>
      <c r="G59" s="126">
        <v>0</v>
      </c>
      <c r="H59" s="166">
        <v>0</v>
      </c>
      <c r="I59" s="126">
        <v>0</v>
      </c>
      <c r="J59" s="166">
        <v>0</v>
      </c>
      <c r="K59" s="126">
        <v>0</v>
      </c>
      <c r="L59" s="166">
        <v>0</v>
      </c>
      <c r="M59" s="126">
        <v>0</v>
      </c>
    </row>
    <row r="60" spans="1:13" ht="15.75" thickBot="1">
      <c r="A60" s="404"/>
      <c r="B60" s="157" t="s">
        <v>190</v>
      </c>
      <c r="C60" s="158" t="s">
        <v>199</v>
      </c>
      <c r="D60" s="249">
        <f>D23-D26</f>
        <v>54477760.039999999</v>
      </c>
      <c r="E60" s="249">
        <v>75927186</v>
      </c>
      <c r="F60" s="249">
        <v>0</v>
      </c>
      <c r="G60" s="167">
        <v>0</v>
      </c>
      <c r="H60" s="168">
        <v>0</v>
      </c>
      <c r="I60" s="167">
        <v>0</v>
      </c>
      <c r="J60" s="168">
        <v>0</v>
      </c>
      <c r="K60" s="167">
        <v>0</v>
      </c>
      <c r="L60" s="168">
        <v>0</v>
      </c>
      <c r="M60" s="167">
        <v>0</v>
      </c>
    </row>
  </sheetData>
  <mergeCells count="26">
    <mergeCell ref="B53:C53"/>
    <mergeCell ref="A54:A60"/>
    <mergeCell ref="A1:E1"/>
    <mergeCell ref="B35:C35"/>
    <mergeCell ref="B36:C36"/>
    <mergeCell ref="B38:C38"/>
    <mergeCell ref="A39:A45"/>
    <mergeCell ref="B47:C47"/>
    <mergeCell ref="A48:A52"/>
    <mergeCell ref="A27:A28"/>
    <mergeCell ref="B29:C29"/>
    <mergeCell ref="B30:C30"/>
    <mergeCell ref="B31:C31"/>
    <mergeCell ref="A32:A33"/>
    <mergeCell ref="B34:C34"/>
    <mergeCell ref="B26:C26"/>
    <mergeCell ref="A2:M2"/>
    <mergeCell ref="B4:C4"/>
    <mergeCell ref="B5:C5"/>
    <mergeCell ref="A6:A8"/>
    <mergeCell ref="B9:C9"/>
    <mergeCell ref="A10:A17"/>
    <mergeCell ref="B18:C18"/>
    <mergeCell ref="B19:C19"/>
    <mergeCell ref="B20:C20"/>
    <mergeCell ref="A21:A25"/>
  </mergeCells>
  <pageMargins left="0.39370078740157483" right="0.19685039370078741" top="0.23622047244094491" bottom="0.35433070866141736" header="0.15748031496062992" footer="0.31496062992125984"/>
  <pageSetup paperSize="9" scale="68" fitToHeight="2" orientation="landscape" r:id="rId1"/>
  <rowBreaks count="1" manualBreakCount="1">
    <brk id="3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L74"/>
  <sheetViews>
    <sheetView topLeftCell="A2" zoomScale="80" zoomScaleNormal="80" workbookViewId="0">
      <selection activeCell="D57" sqref="D57"/>
    </sheetView>
  </sheetViews>
  <sheetFormatPr defaultColWidth="14.875" defaultRowHeight="14.25"/>
  <cols>
    <col min="1" max="1" width="5" customWidth="1"/>
    <col min="2" max="2" width="56.25" customWidth="1"/>
    <col min="3" max="3" width="16.25" hidden="1" customWidth="1"/>
    <col min="4" max="6" width="15.75" customWidth="1"/>
    <col min="7" max="12" width="15.625" customWidth="1"/>
    <col min="13" max="250" width="9" customWidth="1"/>
    <col min="251" max="251" width="5.5" customWidth="1"/>
    <col min="252" max="252" width="50.25" customWidth="1"/>
    <col min="253" max="255" width="0" hidden="1" customWidth="1"/>
  </cols>
  <sheetData>
    <row r="1" spans="1:12" ht="15" customHeight="1">
      <c r="E1" s="169"/>
      <c r="K1" s="411" t="s">
        <v>231</v>
      </c>
      <c r="L1" s="412"/>
    </row>
    <row r="2" spans="1:12" ht="18.75">
      <c r="A2" s="413" t="s">
        <v>294</v>
      </c>
      <c r="B2" s="413"/>
      <c r="C2" s="413"/>
      <c r="D2" s="413"/>
      <c r="E2" s="413"/>
      <c r="F2" s="413"/>
      <c r="G2" s="413"/>
      <c r="H2" s="413"/>
      <c r="I2" s="413"/>
      <c r="J2" s="413"/>
      <c r="K2" s="413"/>
      <c r="L2" s="413"/>
    </row>
    <row r="3" spans="1:12" ht="17.25" customHeight="1" thickBot="1">
      <c r="A3" s="170"/>
      <c r="B3" s="170"/>
      <c r="L3" s="171" t="s">
        <v>10</v>
      </c>
    </row>
    <row r="4" spans="1:12" ht="26.25" customHeight="1" thickBot="1">
      <c r="A4" s="172" t="s">
        <v>232</v>
      </c>
      <c r="B4" s="173" t="s">
        <v>233</v>
      </c>
      <c r="C4" s="174">
        <v>2011</v>
      </c>
      <c r="D4" s="174">
        <v>2012</v>
      </c>
      <c r="E4" s="174">
        <v>2013</v>
      </c>
      <c r="F4" s="174">
        <v>2014</v>
      </c>
      <c r="G4" s="174">
        <v>2015</v>
      </c>
      <c r="H4" s="174">
        <v>2016</v>
      </c>
      <c r="I4" s="174">
        <v>2017</v>
      </c>
      <c r="J4" s="174">
        <v>2018</v>
      </c>
      <c r="K4" s="174">
        <v>2019</v>
      </c>
      <c r="L4" s="175">
        <v>2020</v>
      </c>
    </row>
    <row r="5" spans="1:12" ht="15" customHeight="1" thickBot="1">
      <c r="A5" s="258">
        <v>1</v>
      </c>
      <c r="B5" s="259">
        <v>2</v>
      </c>
      <c r="C5" s="260">
        <v>3</v>
      </c>
      <c r="D5" s="260">
        <v>4</v>
      </c>
      <c r="E5" s="260">
        <v>5</v>
      </c>
      <c r="F5" s="260">
        <v>6</v>
      </c>
      <c r="G5" s="260">
        <v>7</v>
      </c>
      <c r="H5" s="260">
        <v>8</v>
      </c>
      <c r="I5" s="260">
        <v>9</v>
      </c>
      <c r="J5" s="260">
        <v>10</v>
      </c>
      <c r="K5" s="260">
        <v>11</v>
      </c>
      <c r="L5" s="261">
        <v>12</v>
      </c>
    </row>
    <row r="6" spans="1:12" ht="22.5" customHeight="1" thickBot="1">
      <c r="A6" s="310" t="s">
        <v>234</v>
      </c>
      <c r="B6" s="311" t="s">
        <v>235</v>
      </c>
      <c r="C6" s="207">
        <f t="shared" ref="C6:L6" si="0">SUM(C7,C22)</f>
        <v>825267920</v>
      </c>
      <c r="D6" s="205">
        <f t="shared" si="0"/>
        <v>859625990</v>
      </c>
      <c r="E6" s="205">
        <f t="shared" si="0"/>
        <v>798718968</v>
      </c>
      <c r="F6" s="205">
        <f t="shared" si="0"/>
        <v>679956754</v>
      </c>
      <c r="G6" s="205">
        <f t="shared" si="0"/>
        <v>627133381</v>
      </c>
      <c r="H6" s="205">
        <f t="shared" si="0"/>
        <v>625236824</v>
      </c>
      <c r="I6" s="205">
        <f t="shared" si="0"/>
        <v>632561832</v>
      </c>
      <c r="J6" s="205">
        <f t="shared" si="0"/>
        <v>638234505</v>
      </c>
      <c r="K6" s="205">
        <f t="shared" si="0"/>
        <v>643628258</v>
      </c>
      <c r="L6" s="206">
        <f t="shared" si="0"/>
        <v>649432779</v>
      </c>
    </row>
    <row r="7" spans="1:12" ht="18.75" customHeight="1">
      <c r="A7" s="178"/>
      <c r="B7" s="306" t="s">
        <v>236</v>
      </c>
      <c r="C7" s="307">
        <f>SUM(C8,C11,C13:C21)</f>
        <v>671107629</v>
      </c>
      <c r="D7" s="308">
        <f t="shared" ref="D7:L7" si="1">SUM(D8,D11,D13:D21)</f>
        <v>727121034</v>
      </c>
      <c r="E7" s="308">
        <f t="shared" si="1"/>
        <v>687029986</v>
      </c>
      <c r="F7" s="308">
        <f t="shared" si="1"/>
        <v>633083215</v>
      </c>
      <c r="G7" s="308">
        <f t="shared" si="1"/>
        <v>620349417</v>
      </c>
      <c r="H7" s="308">
        <f t="shared" si="1"/>
        <v>621790224</v>
      </c>
      <c r="I7" s="308">
        <f t="shared" si="1"/>
        <v>627015232</v>
      </c>
      <c r="J7" s="308">
        <f t="shared" si="1"/>
        <v>632687905</v>
      </c>
      <c r="K7" s="308">
        <f t="shared" si="1"/>
        <v>638231658</v>
      </c>
      <c r="L7" s="309">
        <f t="shared" si="1"/>
        <v>644036179</v>
      </c>
    </row>
    <row r="8" spans="1:12" ht="15">
      <c r="A8" s="178"/>
      <c r="B8" s="179" t="s">
        <v>237</v>
      </c>
      <c r="C8" s="181">
        <f t="shared" ref="C8:L8" si="2">SUM(C9:C10)</f>
        <v>555500000</v>
      </c>
      <c r="D8" s="180">
        <f t="shared" si="2"/>
        <v>561055000</v>
      </c>
      <c r="E8" s="180">
        <f t="shared" si="2"/>
        <v>566665550</v>
      </c>
      <c r="F8" s="180">
        <f t="shared" si="2"/>
        <v>572332205</v>
      </c>
      <c r="G8" s="180">
        <f t="shared" si="2"/>
        <v>578055528</v>
      </c>
      <c r="H8" s="180">
        <f t="shared" si="2"/>
        <v>583836083</v>
      </c>
      <c r="I8" s="180">
        <f t="shared" si="2"/>
        <v>589674444</v>
      </c>
      <c r="J8" s="180">
        <f t="shared" si="2"/>
        <v>595571188</v>
      </c>
      <c r="K8" s="180">
        <f t="shared" si="2"/>
        <v>601526900</v>
      </c>
      <c r="L8" s="182">
        <f t="shared" si="2"/>
        <v>607542169</v>
      </c>
    </row>
    <row r="9" spans="1:12" ht="15">
      <c r="A9" s="183"/>
      <c r="B9" s="184" t="s">
        <v>238</v>
      </c>
      <c r="C9" s="186">
        <v>111100000</v>
      </c>
      <c r="D9" s="185">
        <v>112211000</v>
      </c>
      <c r="E9" s="185">
        <v>113333110</v>
      </c>
      <c r="F9" s="185">
        <v>114466441</v>
      </c>
      <c r="G9" s="185">
        <v>115611106</v>
      </c>
      <c r="H9" s="185">
        <v>116767217</v>
      </c>
      <c r="I9" s="185">
        <v>117934889</v>
      </c>
      <c r="J9" s="185">
        <v>119114238</v>
      </c>
      <c r="K9" s="185">
        <v>120305380</v>
      </c>
      <c r="L9" s="187">
        <v>121508434</v>
      </c>
    </row>
    <row r="10" spans="1:12" ht="15">
      <c r="A10" s="183"/>
      <c r="B10" s="188" t="s">
        <v>239</v>
      </c>
      <c r="C10" s="190">
        <v>444400000</v>
      </c>
      <c r="D10" s="189">
        <v>448844000</v>
      </c>
      <c r="E10" s="189">
        <v>453332440</v>
      </c>
      <c r="F10" s="189">
        <v>457865764</v>
      </c>
      <c r="G10" s="189">
        <v>462444422</v>
      </c>
      <c r="H10" s="189">
        <v>467068866</v>
      </c>
      <c r="I10" s="189">
        <v>471739555</v>
      </c>
      <c r="J10" s="189">
        <v>476456950</v>
      </c>
      <c r="K10" s="189">
        <v>481221520</v>
      </c>
      <c r="L10" s="191">
        <v>486033735</v>
      </c>
    </row>
    <row r="11" spans="1:12" ht="15">
      <c r="A11" s="183"/>
      <c r="B11" s="179" t="s">
        <v>240</v>
      </c>
      <c r="C11" s="181">
        <f>60893164+C12</f>
        <v>66509245</v>
      </c>
      <c r="D11" s="180">
        <v>85999429</v>
      </c>
      <c r="E11" s="180">
        <v>31498655</v>
      </c>
      <c r="F11" s="180">
        <v>32265669</v>
      </c>
      <c r="G11" s="180">
        <v>28786799</v>
      </c>
      <c r="H11" s="180">
        <v>26597052</v>
      </c>
      <c r="I11" s="180">
        <v>26668672</v>
      </c>
      <c r="J11" s="180">
        <v>26644601</v>
      </c>
      <c r="K11" s="180">
        <v>26532642</v>
      </c>
      <c r="L11" s="182">
        <v>26522894</v>
      </c>
    </row>
    <row r="12" spans="1:12" ht="30">
      <c r="A12" s="183"/>
      <c r="B12" s="234" t="s">
        <v>271</v>
      </c>
      <c r="C12" s="186">
        <v>5616081</v>
      </c>
      <c r="D12" s="189">
        <v>200000</v>
      </c>
      <c r="E12" s="180">
        <v>184795</v>
      </c>
      <c r="F12" s="180">
        <v>184795</v>
      </c>
      <c r="G12" s="180">
        <v>184795</v>
      </c>
      <c r="H12" s="180">
        <v>184795</v>
      </c>
      <c r="I12" s="180">
        <v>184795</v>
      </c>
      <c r="J12" s="180">
        <v>184795</v>
      </c>
      <c r="K12" s="180">
        <v>184795</v>
      </c>
      <c r="L12" s="182">
        <v>184795</v>
      </c>
    </row>
    <row r="13" spans="1:12" ht="30">
      <c r="A13" s="183"/>
      <c r="B13" s="184" t="s">
        <v>241</v>
      </c>
      <c r="C13" s="186">
        <v>5000</v>
      </c>
      <c r="D13" s="189">
        <v>5000</v>
      </c>
      <c r="E13" s="189">
        <v>2000</v>
      </c>
      <c r="F13" s="189">
        <v>2000</v>
      </c>
      <c r="G13" s="189">
        <v>2000</v>
      </c>
      <c r="H13" s="189">
        <v>1000</v>
      </c>
      <c r="I13" s="189">
        <v>1000</v>
      </c>
      <c r="J13" s="189">
        <v>1000</v>
      </c>
      <c r="K13" s="189">
        <v>1000</v>
      </c>
      <c r="L13" s="191">
        <v>0</v>
      </c>
    </row>
    <row r="14" spans="1:12" ht="15">
      <c r="A14" s="183"/>
      <c r="B14" s="179" t="s">
        <v>242</v>
      </c>
      <c r="C14" s="181">
        <v>150000</v>
      </c>
      <c r="D14" s="180">
        <v>70000</v>
      </c>
      <c r="E14" s="180">
        <v>150000</v>
      </c>
      <c r="F14" s="180">
        <v>150000</v>
      </c>
      <c r="G14" s="180">
        <v>150000</v>
      </c>
      <c r="H14" s="180">
        <v>150000</v>
      </c>
      <c r="I14" s="180">
        <v>150000</v>
      </c>
      <c r="J14" s="180">
        <v>150000</v>
      </c>
      <c r="K14" s="180">
        <v>150000</v>
      </c>
      <c r="L14" s="182">
        <v>150000</v>
      </c>
    </row>
    <row r="15" spans="1:12" ht="15">
      <c r="A15" s="183"/>
      <c r="B15" s="179" t="s">
        <v>243</v>
      </c>
      <c r="C15" s="181">
        <v>10000</v>
      </c>
      <c r="D15" s="180">
        <v>10000</v>
      </c>
      <c r="E15" s="180">
        <v>10000</v>
      </c>
      <c r="F15" s="180">
        <v>8000</v>
      </c>
      <c r="G15" s="180">
        <v>8000</v>
      </c>
      <c r="H15" s="180">
        <v>8000</v>
      </c>
      <c r="I15" s="180">
        <v>8000</v>
      </c>
      <c r="J15" s="180">
        <v>8000</v>
      </c>
      <c r="K15" s="180">
        <v>8000</v>
      </c>
      <c r="L15" s="182">
        <v>8000</v>
      </c>
    </row>
    <row r="16" spans="1:12" ht="33.75">
      <c r="A16" s="183"/>
      <c r="B16" s="254" t="s">
        <v>244</v>
      </c>
      <c r="C16" s="186">
        <v>13684</v>
      </c>
      <c r="D16" s="180">
        <v>14053</v>
      </c>
      <c r="E16" s="180">
        <v>13116</v>
      </c>
      <c r="F16" s="180">
        <v>13116</v>
      </c>
      <c r="G16" s="180">
        <v>13116</v>
      </c>
      <c r="H16" s="180">
        <v>13116</v>
      </c>
      <c r="I16" s="180">
        <v>13116</v>
      </c>
      <c r="J16" s="180">
        <v>13116</v>
      </c>
      <c r="K16" s="180">
        <v>13116</v>
      </c>
      <c r="L16" s="182">
        <v>13116</v>
      </c>
    </row>
    <row r="17" spans="1:12" ht="30">
      <c r="A17" s="183"/>
      <c r="B17" s="192" t="s">
        <v>245</v>
      </c>
      <c r="C17" s="186">
        <v>4000000</v>
      </c>
      <c r="D17" s="189">
        <v>6000000</v>
      </c>
      <c r="E17" s="189">
        <v>6000000</v>
      </c>
      <c r="F17" s="189">
        <v>6000000</v>
      </c>
      <c r="G17" s="189">
        <v>6000000</v>
      </c>
      <c r="H17" s="189">
        <v>6000000</v>
      </c>
      <c r="I17" s="189">
        <v>6000000</v>
      </c>
      <c r="J17" s="189">
        <v>6000000</v>
      </c>
      <c r="K17" s="189">
        <v>6000000</v>
      </c>
      <c r="L17" s="191">
        <v>6000000</v>
      </c>
    </row>
    <row r="18" spans="1:12" ht="32.25" customHeight="1">
      <c r="A18" s="183"/>
      <c r="B18" s="184" t="s">
        <v>246</v>
      </c>
      <c r="C18" s="186">
        <v>2000000</v>
      </c>
      <c r="D18" s="189">
        <v>12300000</v>
      </c>
      <c r="E18" s="189">
        <v>2000000</v>
      </c>
      <c r="F18" s="189">
        <v>2000000</v>
      </c>
      <c r="G18" s="189">
        <v>2000000</v>
      </c>
      <c r="H18" s="189">
        <v>2000000</v>
      </c>
      <c r="I18" s="189">
        <v>2000000</v>
      </c>
      <c r="J18" s="189">
        <v>2000000</v>
      </c>
      <c r="K18" s="189">
        <v>2000000</v>
      </c>
      <c r="L18" s="191">
        <v>2000000</v>
      </c>
    </row>
    <row r="19" spans="1:12" ht="19.5" customHeight="1">
      <c r="A19" s="183"/>
      <c r="B19" s="179" t="s">
        <v>296</v>
      </c>
      <c r="C19" s="181">
        <v>3750000</v>
      </c>
      <c r="D19" s="189">
        <v>6300000</v>
      </c>
      <c r="E19" s="189">
        <v>3300000</v>
      </c>
      <c r="F19" s="189">
        <v>3000000</v>
      </c>
      <c r="G19" s="189">
        <v>2800000</v>
      </c>
      <c r="H19" s="189">
        <v>2600000</v>
      </c>
      <c r="I19" s="189">
        <v>2500000</v>
      </c>
      <c r="J19" s="189">
        <v>2300000</v>
      </c>
      <c r="K19" s="189">
        <v>2000000</v>
      </c>
      <c r="L19" s="191">
        <v>1800000</v>
      </c>
    </row>
    <row r="20" spans="1:12" ht="15">
      <c r="A20" s="183"/>
      <c r="B20" s="193" t="s">
        <v>299</v>
      </c>
      <c r="C20" s="195">
        <v>31393420</v>
      </c>
      <c r="D20" s="194">
        <v>38075060</v>
      </c>
      <c r="E20" s="194">
        <v>74899422</v>
      </c>
      <c r="F20" s="194">
        <v>15646547</v>
      </c>
      <c r="G20" s="194">
        <v>639351</v>
      </c>
      <c r="H20" s="180">
        <v>0</v>
      </c>
      <c r="I20" s="180">
        <v>0</v>
      </c>
      <c r="J20" s="180">
        <v>0</v>
      </c>
      <c r="K20" s="180">
        <v>0</v>
      </c>
      <c r="L20" s="182">
        <v>0</v>
      </c>
    </row>
    <row r="21" spans="1:12" ht="15">
      <c r="A21" s="183"/>
      <c r="B21" s="193" t="s">
        <v>300</v>
      </c>
      <c r="C21" s="181">
        <v>7776280</v>
      </c>
      <c r="D21" s="180">
        <v>17292492</v>
      </c>
      <c r="E21" s="180">
        <v>2491243</v>
      </c>
      <c r="F21" s="180">
        <v>1665678</v>
      </c>
      <c r="G21" s="180">
        <v>1894623</v>
      </c>
      <c r="H21" s="180">
        <v>584973</v>
      </c>
      <c r="I21" s="180">
        <v>0</v>
      </c>
      <c r="J21" s="180">
        <v>0</v>
      </c>
      <c r="K21" s="180">
        <v>0</v>
      </c>
      <c r="L21" s="182">
        <v>0</v>
      </c>
    </row>
    <row r="22" spans="1:12" ht="18.75" customHeight="1">
      <c r="A22" s="183"/>
      <c r="B22" s="176" t="s">
        <v>247</v>
      </c>
      <c r="C22" s="177">
        <f>SUM(C23,C25:C26)</f>
        <v>154160291</v>
      </c>
      <c r="D22" s="177">
        <f t="shared" ref="D22:L22" si="3">SUM(D23,D25:D26)</f>
        <v>132504956</v>
      </c>
      <c r="E22" s="177">
        <f t="shared" si="3"/>
        <v>111688982</v>
      </c>
      <c r="F22" s="177">
        <f t="shared" si="3"/>
        <v>46873539</v>
      </c>
      <c r="G22" s="177">
        <f t="shared" si="3"/>
        <v>6783964</v>
      </c>
      <c r="H22" s="177">
        <f t="shared" si="3"/>
        <v>3446600</v>
      </c>
      <c r="I22" s="177">
        <f t="shared" si="3"/>
        <v>5546600</v>
      </c>
      <c r="J22" s="177">
        <f t="shared" si="3"/>
        <v>5546600</v>
      </c>
      <c r="K22" s="177">
        <f t="shared" si="3"/>
        <v>5396600</v>
      </c>
      <c r="L22" s="196">
        <f t="shared" si="3"/>
        <v>5396600</v>
      </c>
    </row>
    <row r="23" spans="1:12" ht="15">
      <c r="A23" s="183"/>
      <c r="B23" s="179" t="s">
        <v>272</v>
      </c>
      <c r="C23" s="181">
        <v>5914862</v>
      </c>
      <c r="D23" s="180">
        <v>6374427</v>
      </c>
      <c r="E23" s="180">
        <v>3746600</v>
      </c>
      <c r="F23" s="180">
        <v>5621600</v>
      </c>
      <c r="G23" s="180">
        <v>2221600</v>
      </c>
      <c r="H23" s="180">
        <v>3446600</v>
      </c>
      <c r="I23" s="180">
        <v>5546600</v>
      </c>
      <c r="J23" s="180">
        <v>5546600</v>
      </c>
      <c r="K23" s="180">
        <v>5396600</v>
      </c>
      <c r="L23" s="182">
        <v>5396600</v>
      </c>
    </row>
    <row r="24" spans="1:12" ht="15">
      <c r="A24" s="183"/>
      <c r="B24" s="234" t="s">
        <v>301</v>
      </c>
      <c r="C24" s="181">
        <v>5097400</v>
      </c>
      <c r="D24" s="180">
        <v>5118720</v>
      </c>
      <c r="E24" s="180">
        <v>3746600</v>
      </c>
      <c r="F24" s="180">
        <v>5621600</v>
      </c>
      <c r="G24" s="180">
        <v>2221600</v>
      </c>
      <c r="H24" s="180">
        <v>3446600</v>
      </c>
      <c r="I24" s="180">
        <v>5546600</v>
      </c>
      <c r="J24" s="180">
        <v>5546600</v>
      </c>
      <c r="K24" s="180">
        <v>5396600</v>
      </c>
      <c r="L24" s="182">
        <v>5396600</v>
      </c>
    </row>
    <row r="25" spans="1:12" ht="15">
      <c r="A25" s="183"/>
      <c r="B25" s="193" t="s">
        <v>302</v>
      </c>
      <c r="C25" s="195">
        <v>133612742</v>
      </c>
      <c r="D25" s="194">
        <v>114537629</v>
      </c>
      <c r="E25" s="194">
        <v>100224555</v>
      </c>
      <c r="F25" s="194">
        <v>40813739</v>
      </c>
      <c r="G25" s="194">
        <v>4562364</v>
      </c>
      <c r="H25" s="180">
        <v>0</v>
      </c>
      <c r="I25" s="180">
        <v>0</v>
      </c>
      <c r="J25" s="180">
        <v>0</v>
      </c>
      <c r="K25" s="180">
        <v>0</v>
      </c>
      <c r="L25" s="182">
        <v>0</v>
      </c>
    </row>
    <row r="26" spans="1:12" ht="15.75" thickBot="1">
      <c r="A26" s="183"/>
      <c r="B26" s="184" t="s">
        <v>248</v>
      </c>
      <c r="C26" s="186">
        <v>14632687</v>
      </c>
      <c r="D26" s="185">
        <v>11592900</v>
      </c>
      <c r="E26" s="185">
        <v>7717827</v>
      </c>
      <c r="F26" s="185">
        <v>438200</v>
      </c>
      <c r="G26" s="185">
        <v>0</v>
      </c>
      <c r="H26" s="185">
        <v>0</v>
      </c>
      <c r="I26" s="185">
        <v>0</v>
      </c>
      <c r="J26" s="185">
        <v>0</v>
      </c>
      <c r="K26" s="185">
        <v>0</v>
      </c>
      <c r="L26" s="187">
        <v>0</v>
      </c>
    </row>
    <row r="27" spans="1:12" ht="22.5" customHeight="1" thickBot="1">
      <c r="A27" s="280" t="s">
        <v>249</v>
      </c>
      <c r="B27" s="314" t="s">
        <v>250</v>
      </c>
      <c r="C27" s="207">
        <f t="shared" ref="C27:L27" si="4">SUM(C28:C31)</f>
        <v>209513799</v>
      </c>
      <c r="D27" s="205">
        <f t="shared" si="4"/>
        <v>190454653</v>
      </c>
      <c r="E27" s="205">
        <f t="shared" si="4"/>
        <v>178574450</v>
      </c>
      <c r="F27" s="205">
        <f t="shared" si="4"/>
        <v>178574450</v>
      </c>
      <c r="G27" s="205">
        <f t="shared" si="4"/>
        <v>178574450</v>
      </c>
      <c r="H27" s="205">
        <f t="shared" si="4"/>
        <v>178574450</v>
      </c>
      <c r="I27" s="205">
        <f t="shared" si="4"/>
        <v>178574450</v>
      </c>
      <c r="J27" s="205">
        <f t="shared" si="4"/>
        <v>178574450</v>
      </c>
      <c r="K27" s="205">
        <f t="shared" si="4"/>
        <v>178574450</v>
      </c>
      <c r="L27" s="206">
        <f t="shared" si="4"/>
        <v>178574450</v>
      </c>
    </row>
    <row r="28" spans="1:12" ht="15">
      <c r="A28" s="183"/>
      <c r="B28" s="312" t="s">
        <v>251</v>
      </c>
      <c r="C28" s="190">
        <v>117534293</v>
      </c>
      <c r="D28" s="190">
        <f>122140863+5858</f>
        <v>122146721</v>
      </c>
      <c r="E28" s="190">
        <v>122454037</v>
      </c>
      <c r="F28" s="190">
        <v>122454037</v>
      </c>
      <c r="G28" s="190">
        <v>122454037</v>
      </c>
      <c r="H28" s="190">
        <v>122454037</v>
      </c>
      <c r="I28" s="190">
        <v>122454037</v>
      </c>
      <c r="J28" s="190">
        <v>122454037</v>
      </c>
      <c r="K28" s="190">
        <v>122454037</v>
      </c>
      <c r="L28" s="313">
        <v>122454037</v>
      </c>
    </row>
    <row r="29" spans="1:12" ht="15">
      <c r="A29" s="183"/>
      <c r="B29" s="197" t="s">
        <v>252</v>
      </c>
      <c r="C29" s="181">
        <v>79456637</v>
      </c>
      <c r="D29" s="181">
        <v>21195253</v>
      </c>
      <c r="E29" s="181">
        <v>21195253</v>
      </c>
      <c r="F29" s="181">
        <v>21195253</v>
      </c>
      <c r="G29" s="181">
        <v>21195253</v>
      </c>
      <c r="H29" s="181">
        <v>21195253</v>
      </c>
      <c r="I29" s="181">
        <v>21195253</v>
      </c>
      <c r="J29" s="181">
        <v>21195253</v>
      </c>
      <c r="K29" s="181">
        <v>21195253</v>
      </c>
      <c r="L29" s="198">
        <v>21195253</v>
      </c>
    </row>
    <row r="30" spans="1:12" ht="15">
      <c r="A30" s="183"/>
      <c r="B30" s="197" t="s">
        <v>253</v>
      </c>
      <c r="C30" s="181">
        <v>10197869</v>
      </c>
      <c r="D30" s="181">
        <v>34811179</v>
      </c>
      <c r="E30" s="181">
        <v>34925160</v>
      </c>
      <c r="F30" s="181">
        <v>34925160</v>
      </c>
      <c r="G30" s="181">
        <v>34925160</v>
      </c>
      <c r="H30" s="181">
        <v>34925160</v>
      </c>
      <c r="I30" s="181">
        <v>34925160</v>
      </c>
      <c r="J30" s="181">
        <v>34925160</v>
      </c>
      <c r="K30" s="181">
        <v>34925160</v>
      </c>
      <c r="L30" s="198">
        <v>34925160</v>
      </c>
    </row>
    <row r="31" spans="1:12" ht="15">
      <c r="A31" s="183"/>
      <c r="B31" s="197" t="s">
        <v>254</v>
      </c>
      <c r="C31" s="181">
        <v>2325000</v>
      </c>
      <c r="D31" s="180">
        <v>12301500</v>
      </c>
      <c r="E31" s="180">
        <v>0</v>
      </c>
      <c r="F31" s="180">
        <v>0</v>
      </c>
      <c r="G31" s="180">
        <v>0</v>
      </c>
      <c r="H31" s="180">
        <v>0</v>
      </c>
      <c r="I31" s="180">
        <v>0</v>
      </c>
      <c r="J31" s="180">
        <v>0</v>
      </c>
      <c r="K31" s="180">
        <v>0</v>
      </c>
      <c r="L31" s="182">
        <v>0</v>
      </c>
    </row>
    <row r="32" spans="1:12" ht="15.75" thickBot="1">
      <c r="A32" s="183"/>
      <c r="B32" s="315" t="s">
        <v>247</v>
      </c>
      <c r="C32" s="186">
        <v>2325000</v>
      </c>
      <c r="D32" s="185">
        <v>12301500</v>
      </c>
      <c r="E32" s="185">
        <v>0</v>
      </c>
      <c r="F32" s="185">
        <v>0</v>
      </c>
      <c r="G32" s="185">
        <v>0</v>
      </c>
      <c r="H32" s="185">
        <v>0</v>
      </c>
      <c r="I32" s="185">
        <v>0</v>
      </c>
      <c r="J32" s="185">
        <v>0</v>
      </c>
      <c r="K32" s="185">
        <v>0</v>
      </c>
      <c r="L32" s="187">
        <v>0</v>
      </c>
    </row>
    <row r="33" spans="1:12" ht="22.5" customHeight="1" thickBot="1">
      <c r="A33" s="280" t="s">
        <v>255</v>
      </c>
      <c r="B33" s="314" t="s">
        <v>256</v>
      </c>
      <c r="C33" s="207">
        <f t="shared" ref="C33:L33" si="5">SUM(C34,C36,C38)</f>
        <v>234542107</v>
      </c>
      <c r="D33" s="205">
        <f t="shared" si="5"/>
        <v>311512752</v>
      </c>
      <c r="E33" s="205">
        <f t="shared" si="5"/>
        <v>769292426</v>
      </c>
      <c r="F33" s="205">
        <f t="shared" si="5"/>
        <v>577917819</v>
      </c>
      <c r="G33" s="205">
        <f t="shared" si="5"/>
        <v>69095559</v>
      </c>
      <c r="H33" s="205">
        <f t="shared" si="5"/>
        <v>4135025</v>
      </c>
      <c r="I33" s="205">
        <f t="shared" si="5"/>
        <v>4135025</v>
      </c>
      <c r="J33" s="205">
        <f t="shared" si="5"/>
        <v>4135025</v>
      </c>
      <c r="K33" s="205">
        <f t="shared" si="5"/>
        <v>4135025</v>
      </c>
      <c r="L33" s="206">
        <f t="shared" si="5"/>
        <v>4135025</v>
      </c>
    </row>
    <row r="34" spans="1:12" ht="15">
      <c r="A34" s="199"/>
      <c r="B34" s="316" t="s">
        <v>304</v>
      </c>
      <c r="C34" s="317">
        <f>14158435+1102153</f>
        <v>15260588</v>
      </c>
      <c r="D34" s="318">
        <f>46187476+813750</f>
        <v>47001226</v>
      </c>
      <c r="E34" s="318">
        <v>56250</v>
      </c>
      <c r="F34" s="318">
        <v>0</v>
      </c>
      <c r="G34" s="318">
        <v>0</v>
      </c>
      <c r="H34" s="189">
        <v>0</v>
      </c>
      <c r="I34" s="189">
        <v>0</v>
      </c>
      <c r="J34" s="189">
        <v>0</v>
      </c>
      <c r="K34" s="189">
        <v>0</v>
      </c>
      <c r="L34" s="191">
        <v>0</v>
      </c>
    </row>
    <row r="35" spans="1:12" ht="15">
      <c r="A35" s="199"/>
      <c r="B35" s="193" t="s">
        <v>247</v>
      </c>
      <c r="C35" s="195">
        <v>11669475</v>
      </c>
      <c r="D35" s="194">
        <v>39181675</v>
      </c>
      <c r="E35" s="194">
        <v>0</v>
      </c>
      <c r="F35" s="194">
        <v>0</v>
      </c>
      <c r="G35" s="194">
        <v>0</v>
      </c>
      <c r="H35" s="180">
        <v>0</v>
      </c>
      <c r="I35" s="180">
        <v>0</v>
      </c>
      <c r="J35" s="180">
        <v>0</v>
      </c>
      <c r="K35" s="180">
        <v>0</v>
      </c>
      <c r="L35" s="182">
        <v>0</v>
      </c>
    </row>
    <row r="36" spans="1:12" ht="15">
      <c r="A36" s="199"/>
      <c r="B36" s="193" t="s">
        <v>303</v>
      </c>
      <c r="C36" s="195">
        <v>180514166</v>
      </c>
      <c r="D36" s="194">
        <v>152010930</v>
      </c>
      <c r="E36" s="194">
        <v>151744892</v>
      </c>
      <c r="F36" s="194">
        <v>106078582</v>
      </c>
      <c r="G36" s="194">
        <v>43782411</v>
      </c>
      <c r="H36" s="180">
        <v>0</v>
      </c>
      <c r="I36" s="180">
        <v>0</v>
      </c>
      <c r="J36" s="180">
        <v>0</v>
      </c>
      <c r="K36" s="180">
        <v>0</v>
      </c>
      <c r="L36" s="182">
        <v>0</v>
      </c>
    </row>
    <row r="37" spans="1:12" ht="15">
      <c r="A37" s="199"/>
      <c r="B37" s="193" t="s">
        <v>247</v>
      </c>
      <c r="C37" s="195">
        <v>61484102</v>
      </c>
      <c r="D37" s="194">
        <v>35193294</v>
      </c>
      <c r="E37" s="194">
        <v>29010571</v>
      </c>
      <c r="F37" s="194">
        <v>38722545</v>
      </c>
      <c r="G37" s="194">
        <v>7765978</v>
      </c>
      <c r="H37" s="180">
        <v>0</v>
      </c>
      <c r="I37" s="180">
        <v>0</v>
      </c>
      <c r="J37" s="180">
        <v>0</v>
      </c>
      <c r="K37" s="180">
        <v>0</v>
      </c>
      <c r="L37" s="182">
        <v>0</v>
      </c>
    </row>
    <row r="38" spans="1:12" ht="15">
      <c r="A38" s="199"/>
      <c r="B38" s="179" t="s">
        <v>257</v>
      </c>
      <c r="C38" s="181">
        <v>38767353</v>
      </c>
      <c r="D38" s="180">
        <v>112500596</v>
      </c>
      <c r="E38" s="180">
        <v>617491284</v>
      </c>
      <c r="F38" s="180">
        <v>471839237</v>
      </c>
      <c r="G38" s="180">
        <v>25313148</v>
      </c>
      <c r="H38" s="180">
        <v>4135025</v>
      </c>
      <c r="I38" s="180">
        <v>4135025</v>
      </c>
      <c r="J38" s="180">
        <v>4135025</v>
      </c>
      <c r="K38" s="180">
        <v>4135025</v>
      </c>
      <c r="L38" s="182">
        <v>4135025</v>
      </c>
    </row>
    <row r="39" spans="1:12" ht="19.5" customHeight="1" thickBot="1">
      <c r="A39" s="202"/>
      <c r="B39" s="203" t="s">
        <v>247</v>
      </c>
      <c r="C39" s="204">
        <v>37514824</v>
      </c>
      <c r="D39" s="200">
        <v>91662062</v>
      </c>
      <c r="E39" s="200">
        <v>617288771</v>
      </c>
      <c r="F39" s="200">
        <v>471592859</v>
      </c>
      <c r="G39" s="200">
        <v>25116500</v>
      </c>
      <c r="H39" s="200">
        <v>4000000</v>
      </c>
      <c r="I39" s="200">
        <v>4000000</v>
      </c>
      <c r="J39" s="200">
        <v>4000000</v>
      </c>
      <c r="K39" s="200">
        <v>4000000</v>
      </c>
      <c r="L39" s="201">
        <v>4000000</v>
      </c>
    </row>
    <row r="40" spans="1:12" ht="22.5" customHeight="1" thickBot="1">
      <c r="A40" s="414" t="s">
        <v>287</v>
      </c>
      <c r="B40" s="415"/>
      <c r="C40" s="207">
        <f t="shared" ref="C40:L40" si="6">SUM(C6,C27,C33)</f>
        <v>1269323826</v>
      </c>
      <c r="D40" s="205">
        <f t="shared" si="6"/>
        <v>1361593395</v>
      </c>
      <c r="E40" s="205">
        <f t="shared" si="6"/>
        <v>1746585844</v>
      </c>
      <c r="F40" s="205">
        <f t="shared" si="6"/>
        <v>1436449023</v>
      </c>
      <c r="G40" s="205">
        <f t="shared" si="6"/>
        <v>874803390</v>
      </c>
      <c r="H40" s="205">
        <f t="shared" si="6"/>
        <v>807946299</v>
      </c>
      <c r="I40" s="205">
        <f t="shared" si="6"/>
        <v>815271307</v>
      </c>
      <c r="J40" s="205">
        <f t="shared" si="6"/>
        <v>820943980</v>
      </c>
      <c r="K40" s="205">
        <f t="shared" si="6"/>
        <v>826337733</v>
      </c>
      <c r="L40" s="206">
        <f t="shared" si="6"/>
        <v>832142254</v>
      </c>
    </row>
    <row r="41" spans="1:12" ht="8.25" customHeight="1" thickBot="1">
      <c r="A41" s="208"/>
      <c r="B41" s="208"/>
      <c r="C41" s="210"/>
      <c r="D41" s="209"/>
      <c r="E41" s="209"/>
      <c r="F41" s="209"/>
      <c r="G41" s="209"/>
      <c r="H41" s="209"/>
      <c r="I41" s="209"/>
      <c r="J41" s="209"/>
      <c r="K41" s="209"/>
      <c r="L41" s="209"/>
    </row>
    <row r="42" spans="1:12" ht="19.5" thickBot="1">
      <c r="A42" s="161"/>
      <c r="B42" s="302" t="s">
        <v>258</v>
      </c>
      <c r="C42" s="303">
        <f t="shared" ref="C42:L42" si="7">SUM(C43:C44)</f>
        <v>105826301</v>
      </c>
      <c r="D42" s="304">
        <f t="shared" si="7"/>
        <v>77731074</v>
      </c>
      <c r="E42" s="304">
        <f t="shared" si="7"/>
        <v>63049400</v>
      </c>
      <c r="F42" s="304">
        <f t="shared" si="7"/>
        <v>63049400</v>
      </c>
      <c r="G42" s="304">
        <f t="shared" si="7"/>
        <v>63049400</v>
      </c>
      <c r="H42" s="304">
        <f t="shared" si="7"/>
        <v>63049400</v>
      </c>
      <c r="I42" s="304">
        <f t="shared" si="7"/>
        <v>63049400</v>
      </c>
      <c r="J42" s="304">
        <f t="shared" si="7"/>
        <v>63049400</v>
      </c>
      <c r="K42" s="304">
        <f t="shared" si="7"/>
        <v>63049400</v>
      </c>
      <c r="L42" s="305">
        <f t="shared" si="7"/>
        <v>63049400</v>
      </c>
    </row>
    <row r="43" spans="1:12" ht="15">
      <c r="A43" s="161"/>
      <c r="B43" s="298" t="s">
        <v>259</v>
      </c>
      <c r="C43" s="299">
        <v>59179516</v>
      </c>
      <c r="D43" s="300">
        <v>59233090</v>
      </c>
      <c r="E43" s="300">
        <v>48553400</v>
      </c>
      <c r="F43" s="300">
        <v>48553400</v>
      </c>
      <c r="G43" s="300">
        <v>48553400</v>
      </c>
      <c r="H43" s="300">
        <v>48553400</v>
      </c>
      <c r="I43" s="300">
        <v>48553400</v>
      </c>
      <c r="J43" s="300">
        <v>48553400</v>
      </c>
      <c r="K43" s="300">
        <v>48553400</v>
      </c>
      <c r="L43" s="301">
        <v>48553400</v>
      </c>
    </row>
    <row r="44" spans="1:12" ht="15.75" thickBot="1">
      <c r="A44" s="161"/>
      <c r="B44" s="294" t="s">
        <v>260</v>
      </c>
      <c r="C44" s="295">
        <f>45194000+1369385+83400</f>
        <v>46646785</v>
      </c>
      <c r="D44" s="296">
        <v>18497984</v>
      </c>
      <c r="E44" s="296">
        <v>14496000</v>
      </c>
      <c r="F44" s="296">
        <v>14496000</v>
      </c>
      <c r="G44" s="296">
        <v>14496000</v>
      </c>
      <c r="H44" s="296">
        <v>14496000</v>
      </c>
      <c r="I44" s="296">
        <v>14496000</v>
      </c>
      <c r="J44" s="296">
        <v>14496000</v>
      </c>
      <c r="K44" s="296">
        <v>14496000</v>
      </c>
      <c r="L44" s="297">
        <v>14496000</v>
      </c>
    </row>
    <row r="45" spans="1:12" ht="6" customHeight="1">
      <c r="A45" s="161"/>
      <c r="B45" s="212"/>
      <c r="C45" s="211"/>
      <c r="D45" s="211"/>
      <c r="E45" s="211"/>
      <c r="F45" s="211"/>
      <c r="G45" s="211"/>
      <c r="H45" s="211"/>
      <c r="I45" s="211"/>
      <c r="J45" s="211"/>
      <c r="K45" s="211"/>
      <c r="L45" s="211"/>
    </row>
    <row r="46" spans="1:12" ht="15.75">
      <c r="A46" s="118"/>
      <c r="B46" s="272" t="s">
        <v>261</v>
      </c>
      <c r="C46" s="213">
        <f t="shared" ref="C46:L46" si="8">SUM(C40,C42)</f>
        <v>1375150127</v>
      </c>
      <c r="D46" s="274">
        <f t="shared" si="8"/>
        <v>1439324469</v>
      </c>
      <c r="E46" s="274">
        <f t="shared" si="8"/>
        <v>1809635244</v>
      </c>
      <c r="F46" s="274">
        <f t="shared" si="8"/>
        <v>1499498423</v>
      </c>
      <c r="G46" s="274">
        <f t="shared" si="8"/>
        <v>937852790</v>
      </c>
      <c r="H46" s="274">
        <f t="shared" si="8"/>
        <v>870995699</v>
      </c>
      <c r="I46" s="274">
        <f t="shared" si="8"/>
        <v>878320707</v>
      </c>
      <c r="J46" s="274">
        <f t="shared" si="8"/>
        <v>883993380</v>
      </c>
      <c r="K46" s="274">
        <f t="shared" si="8"/>
        <v>889387133</v>
      </c>
      <c r="L46" s="274">
        <f t="shared" si="8"/>
        <v>895191654</v>
      </c>
    </row>
    <row r="47" spans="1:12" ht="15">
      <c r="A47" s="118"/>
      <c r="B47" s="273" t="s">
        <v>262</v>
      </c>
      <c r="C47" s="214">
        <f t="shared" ref="C47:L47" si="9">C7+(C27-C32)+(C34-C35)+(C36-C37)+(C38-C39)+C43</f>
        <v>1061349650</v>
      </c>
      <c r="D47" s="275">
        <f t="shared" si="9"/>
        <v>1109982998</v>
      </c>
      <c r="E47" s="275">
        <f t="shared" si="9"/>
        <v>1037150920</v>
      </c>
      <c r="F47" s="275">
        <f t="shared" si="9"/>
        <v>927813480</v>
      </c>
      <c r="G47" s="275">
        <f t="shared" si="9"/>
        <v>883690348</v>
      </c>
      <c r="H47" s="275">
        <f t="shared" si="9"/>
        <v>849053099</v>
      </c>
      <c r="I47" s="275">
        <f t="shared" si="9"/>
        <v>854278107</v>
      </c>
      <c r="J47" s="275">
        <f t="shared" si="9"/>
        <v>859950780</v>
      </c>
      <c r="K47" s="275">
        <f t="shared" si="9"/>
        <v>865494533</v>
      </c>
      <c r="L47" s="275">
        <f t="shared" si="9"/>
        <v>871299054</v>
      </c>
    </row>
    <row r="48" spans="1:12" ht="15">
      <c r="A48" s="118"/>
      <c r="B48" s="273" t="s">
        <v>263</v>
      </c>
      <c r="C48" s="214">
        <f t="shared" ref="C48:L48" si="10">C22+C32+C35+C37+C39+C44</f>
        <v>313800477</v>
      </c>
      <c r="D48" s="275">
        <f t="shared" si="10"/>
        <v>329341471</v>
      </c>
      <c r="E48" s="275">
        <f t="shared" si="10"/>
        <v>772484324</v>
      </c>
      <c r="F48" s="275">
        <f t="shared" si="10"/>
        <v>571684943</v>
      </c>
      <c r="G48" s="275">
        <f t="shared" si="10"/>
        <v>54162442</v>
      </c>
      <c r="H48" s="275">
        <f t="shared" si="10"/>
        <v>21942600</v>
      </c>
      <c r="I48" s="275">
        <f t="shared" si="10"/>
        <v>24042600</v>
      </c>
      <c r="J48" s="275">
        <f t="shared" si="10"/>
        <v>24042600</v>
      </c>
      <c r="K48" s="275">
        <f t="shared" si="10"/>
        <v>23892600</v>
      </c>
      <c r="L48" s="275">
        <f t="shared" si="10"/>
        <v>23892600</v>
      </c>
    </row>
    <row r="49" spans="1:12" ht="15.75" thickBot="1">
      <c r="A49" s="118"/>
      <c r="B49" s="118"/>
      <c r="C49" s="118"/>
      <c r="D49" s="118"/>
      <c r="E49" s="118"/>
      <c r="F49" s="118"/>
      <c r="G49" s="118"/>
      <c r="H49" s="118"/>
      <c r="I49" s="118"/>
      <c r="J49" s="118"/>
      <c r="K49" s="118"/>
      <c r="L49" s="118"/>
    </row>
    <row r="50" spans="1:12" ht="22.5" customHeight="1" thickBot="1">
      <c r="A50" s="280" t="s">
        <v>232</v>
      </c>
      <c r="B50" s="281" t="s">
        <v>88</v>
      </c>
      <c r="C50" s="282">
        <v>2011</v>
      </c>
      <c r="D50" s="282">
        <v>2012</v>
      </c>
      <c r="E50" s="282">
        <v>2013</v>
      </c>
      <c r="F50" s="282">
        <v>2014</v>
      </c>
      <c r="G50" s="282">
        <v>2015</v>
      </c>
      <c r="H50" s="282">
        <v>2016</v>
      </c>
      <c r="I50" s="282">
        <v>2017</v>
      </c>
      <c r="J50" s="282">
        <v>2018</v>
      </c>
      <c r="K50" s="282">
        <v>2019</v>
      </c>
      <c r="L50" s="283">
        <v>2020</v>
      </c>
    </row>
    <row r="51" spans="1:12" ht="22.5" customHeight="1" thickBot="1">
      <c r="A51" s="409" t="s">
        <v>261</v>
      </c>
      <c r="B51" s="410"/>
      <c r="C51" s="287">
        <f>SUM(C52:C53)</f>
        <v>1375150127</v>
      </c>
      <c r="D51" s="287">
        <f t="shared" ref="D51:L51" si="11">SUM(D52:D53)</f>
        <v>1439324469</v>
      </c>
      <c r="E51" s="287">
        <f t="shared" si="11"/>
        <v>1809635244</v>
      </c>
      <c r="F51" s="287">
        <f t="shared" si="11"/>
        <v>1499498423</v>
      </c>
      <c r="G51" s="287">
        <f t="shared" si="11"/>
        <v>937852790</v>
      </c>
      <c r="H51" s="287">
        <f t="shared" si="11"/>
        <v>870995699</v>
      </c>
      <c r="I51" s="287">
        <f t="shared" si="11"/>
        <v>878320707</v>
      </c>
      <c r="J51" s="287">
        <f t="shared" si="11"/>
        <v>883993380</v>
      </c>
      <c r="K51" s="287">
        <f t="shared" si="11"/>
        <v>889387133</v>
      </c>
      <c r="L51" s="288">
        <f t="shared" si="11"/>
        <v>895191654</v>
      </c>
    </row>
    <row r="52" spans="1:12" ht="18.75" customHeight="1">
      <c r="A52" s="407"/>
      <c r="B52" s="284" t="s">
        <v>288</v>
      </c>
      <c r="C52" s="285">
        <f>C47</f>
        <v>1061349650</v>
      </c>
      <c r="D52" s="285">
        <f t="shared" ref="D52:L52" si="12">D47</f>
        <v>1109982998</v>
      </c>
      <c r="E52" s="285">
        <f>E47</f>
        <v>1037150920</v>
      </c>
      <c r="F52" s="285">
        <f t="shared" si="12"/>
        <v>927813480</v>
      </c>
      <c r="G52" s="285">
        <f t="shared" si="12"/>
        <v>883690348</v>
      </c>
      <c r="H52" s="285">
        <f t="shared" si="12"/>
        <v>849053099</v>
      </c>
      <c r="I52" s="285">
        <f t="shared" si="12"/>
        <v>854278107</v>
      </c>
      <c r="J52" s="285">
        <f t="shared" si="12"/>
        <v>859950780</v>
      </c>
      <c r="K52" s="285">
        <f t="shared" si="12"/>
        <v>865494533</v>
      </c>
      <c r="L52" s="286">
        <f t="shared" si="12"/>
        <v>871299054</v>
      </c>
    </row>
    <row r="53" spans="1:12" ht="18.75" customHeight="1" thickBot="1">
      <c r="A53" s="416"/>
      <c r="B53" s="289" t="s">
        <v>289</v>
      </c>
      <c r="C53" s="290">
        <f>C48</f>
        <v>313800477</v>
      </c>
      <c r="D53" s="290">
        <f t="shared" ref="D53:L53" si="13">D48</f>
        <v>329341471</v>
      </c>
      <c r="E53" s="290">
        <f t="shared" si="13"/>
        <v>772484324</v>
      </c>
      <c r="F53" s="290">
        <f t="shared" si="13"/>
        <v>571684943</v>
      </c>
      <c r="G53" s="290">
        <f t="shared" si="13"/>
        <v>54162442</v>
      </c>
      <c r="H53" s="290">
        <f t="shared" si="13"/>
        <v>21942600</v>
      </c>
      <c r="I53" s="290">
        <f t="shared" si="13"/>
        <v>24042600</v>
      </c>
      <c r="J53" s="290">
        <f t="shared" si="13"/>
        <v>24042600</v>
      </c>
      <c r="K53" s="290">
        <f t="shared" si="13"/>
        <v>23892600</v>
      </c>
      <c r="L53" s="291">
        <f t="shared" si="13"/>
        <v>23892600</v>
      </c>
    </row>
    <row r="54" spans="1:12" ht="22.5" customHeight="1" thickBot="1">
      <c r="A54" s="409" t="s">
        <v>290</v>
      </c>
      <c r="B54" s="410"/>
      <c r="C54" s="287">
        <f t="shared" ref="C54:L54" si="14">SUM(C55:C56)</f>
        <v>1641483284</v>
      </c>
      <c r="D54" s="287">
        <f t="shared" si="14"/>
        <v>1687416014</v>
      </c>
      <c r="E54" s="287">
        <f t="shared" si="14"/>
        <v>1942278345</v>
      </c>
      <c r="F54" s="287">
        <f t="shared" si="14"/>
        <v>1436438947</v>
      </c>
      <c r="G54" s="287">
        <f t="shared" si="14"/>
        <v>844486246</v>
      </c>
      <c r="H54" s="287">
        <f t="shared" si="14"/>
        <v>777629155</v>
      </c>
      <c r="I54" s="287">
        <f t="shared" si="14"/>
        <v>784954163</v>
      </c>
      <c r="J54" s="287">
        <f t="shared" si="14"/>
        <v>790626836</v>
      </c>
      <c r="K54" s="287">
        <f t="shared" si="14"/>
        <v>796020589</v>
      </c>
      <c r="L54" s="288">
        <f t="shared" si="14"/>
        <v>801825086</v>
      </c>
    </row>
    <row r="55" spans="1:12" ht="18.75" customHeight="1">
      <c r="A55" s="292"/>
      <c r="B55" s="284" t="s">
        <v>288</v>
      </c>
      <c r="C55" s="285">
        <f>935540107</f>
        <v>935540107</v>
      </c>
      <c r="D55" s="285">
        <f>1020573248+813750+160786-9471+4500+8708+654</f>
        <v>1021552175</v>
      </c>
      <c r="E55" s="285">
        <v>651122632</v>
      </c>
      <c r="F55" s="285">
        <v>599362778</v>
      </c>
      <c r="G55" s="285">
        <v>541664556</v>
      </c>
      <c r="H55" s="285">
        <v>544415512</v>
      </c>
      <c r="I55" s="285">
        <v>551140323</v>
      </c>
      <c r="J55" s="285">
        <v>558317150</v>
      </c>
      <c r="K55" s="285">
        <v>565696346</v>
      </c>
      <c r="L55" s="286">
        <v>573388868</v>
      </c>
    </row>
    <row r="56" spans="1:12" ht="18.75" customHeight="1" thickBot="1">
      <c r="A56" s="292"/>
      <c r="B56" s="289" t="s">
        <v>289</v>
      </c>
      <c r="C56" s="290">
        <v>705943177</v>
      </c>
      <c r="D56" s="290">
        <f>666029016-160786+9471-4500-8708-654</f>
        <v>665863839</v>
      </c>
      <c r="E56" s="290">
        <v>1291155713</v>
      </c>
      <c r="F56" s="290">
        <v>837076169</v>
      </c>
      <c r="G56" s="290">
        <v>302821690</v>
      </c>
      <c r="H56" s="290">
        <v>233213643</v>
      </c>
      <c r="I56" s="290">
        <v>233813840</v>
      </c>
      <c r="J56" s="290">
        <v>232309686</v>
      </c>
      <c r="K56" s="290">
        <v>230324243</v>
      </c>
      <c r="L56" s="291">
        <v>228436218</v>
      </c>
    </row>
    <row r="57" spans="1:12" ht="22.5" customHeight="1" thickBot="1">
      <c r="A57" s="409" t="s">
        <v>293</v>
      </c>
      <c r="B57" s="410"/>
      <c r="C57" s="287">
        <f>SUM(C58:C61)</f>
        <v>285485210.63999999</v>
      </c>
      <c r="D57" s="287">
        <f t="shared" ref="D57:L57" si="15">SUM(D58:D61)</f>
        <v>333954779</v>
      </c>
      <c r="E57" s="287">
        <f t="shared" si="15"/>
        <v>201089267</v>
      </c>
      <c r="F57" s="287">
        <f t="shared" si="15"/>
        <v>32965444</v>
      </c>
      <c r="G57" s="287">
        <f t="shared" si="15"/>
        <v>0</v>
      </c>
      <c r="H57" s="287">
        <f t="shared" si="15"/>
        <v>0</v>
      </c>
      <c r="I57" s="287">
        <f t="shared" si="15"/>
        <v>0</v>
      </c>
      <c r="J57" s="287">
        <f t="shared" si="15"/>
        <v>0</v>
      </c>
      <c r="K57" s="287">
        <f t="shared" si="15"/>
        <v>0</v>
      </c>
      <c r="L57" s="288">
        <f t="shared" si="15"/>
        <v>0</v>
      </c>
    </row>
    <row r="58" spans="1:12" ht="18.75" customHeight="1">
      <c r="A58" s="407"/>
      <c r="B58" s="293" t="s">
        <v>277</v>
      </c>
      <c r="C58" s="285"/>
      <c r="D58" s="285"/>
      <c r="E58" s="285"/>
      <c r="F58" s="285"/>
      <c r="G58" s="285"/>
      <c r="H58" s="285"/>
      <c r="I58" s="285"/>
      <c r="J58" s="285"/>
      <c r="K58" s="285"/>
      <c r="L58" s="286"/>
    </row>
    <row r="59" spans="1:12" ht="18.75" customHeight="1">
      <c r="A59" s="417"/>
      <c r="B59" s="242" t="s">
        <v>278</v>
      </c>
      <c r="C59" s="244">
        <v>79310061</v>
      </c>
      <c r="D59" s="244">
        <v>125362196</v>
      </c>
      <c r="E59" s="244">
        <v>435000</v>
      </c>
      <c r="F59" s="244"/>
      <c r="G59" s="244"/>
      <c r="H59" s="244"/>
      <c r="I59" s="244"/>
      <c r="J59" s="244"/>
      <c r="K59" s="244"/>
      <c r="L59" s="276"/>
    </row>
    <row r="60" spans="1:12" ht="18.75" customHeight="1">
      <c r="A60" s="417"/>
      <c r="B60" s="243" t="s">
        <v>279</v>
      </c>
      <c r="C60" s="244">
        <v>15211564</v>
      </c>
      <c r="D60" s="244">
        <v>8188557</v>
      </c>
      <c r="E60" s="244">
        <v>7601638</v>
      </c>
      <c r="F60" s="244">
        <v>916664</v>
      </c>
      <c r="G60" s="244"/>
      <c r="H60" s="244"/>
      <c r="I60" s="244"/>
      <c r="J60" s="244"/>
      <c r="K60" s="244"/>
      <c r="L60" s="276"/>
    </row>
    <row r="61" spans="1:12" ht="18.75" customHeight="1" thickBot="1">
      <c r="A61" s="416"/>
      <c r="B61" s="289" t="s">
        <v>305</v>
      </c>
      <c r="C61" s="290">
        <f>'Zestawienie kredytów'!F24</f>
        <v>190963585.63999999</v>
      </c>
      <c r="D61" s="290">
        <f>'Zestawienie kredytów'!F36</f>
        <v>200404026</v>
      </c>
      <c r="E61" s="290">
        <f>'Zestawienie kredytów'!F48</f>
        <v>193052629</v>
      </c>
      <c r="F61" s="290">
        <f>'Zestawienie kredytów'!F61</f>
        <v>32048780</v>
      </c>
      <c r="G61" s="290"/>
      <c r="H61" s="290"/>
      <c r="I61" s="290"/>
      <c r="J61" s="290"/>
      <c r="K61" s="290"/>
      <c r="L61" s="291"/>
    </row>
    <row r="62" spans="1:12" ht="22.5" customHeight="1" thickBot="1">
      <c r="A62" s="409" t="s">
        <v>76</v>
      </c>
      <c r="B62" s="410"/>
      <c r="C62" s="287">
        <f t="shared" ref="C62:L62" si="16">SUM(C63:C64)</f>
        <v>24832300.960000001</v>
      </c>
      <c r="D62" s="287">
        <f t="shared" si="16"/>
        <v>85857375.639999986</v>
      </c>
      <c r="E62" s="287">
        <f t="shared" si="16"/>
        <v>68446166</v>
      </c>
      <c r="F62" s="287">
        <f t="shared" si="16"/>
        <v>96024920</v>
      </c>
      <c r="G62" s="287">
        <f t="shared" si="16"/>
        <v>93366544</v>
      </c>
      <c r="H62" s="287">
        <f t="shared" si="16"/>
        <v>93366544</v>
      </c>
      <c r="I62" s="287">
        <f t="shared" si="16"/>
        <v>93366544</v>
      </c>
      <c r="J62" s="287">
        <f t="shared" si="16"/>
        <v>93366544</v>
      </c>
      <c r="K62" s="287">
        <f t="shared" si="16"/>
        <v>93366544</v>
      </c>
      <c r="L62" s="288">
        <f t="shared" si="16"/>
        <v>93366567.810000002</v>
      </c>
    </row>
    <row r="63" spans="1:12" ht="18.75" customHeight="1">
      <c r="A63" s="407"/>
      <c r="B63" s="284" t="s">
        <v>291</v>
      </c>
      <c r="C63" s="285">
        <f>'Koszty kredytów'!D24</f>
        <v>22177476.960000001</v>
      </c>
      <c r="D63" s="285">
        <f>'Koszty kredytów'!E24</f>
        <v>43395713.639999993</v>
      </c>
      <c r="E63" s="285">
        <f>'Koszty kredytów'!F24</f>
        <v>68446166</v>
      </c>
      <c r="F63" s="285">
        <f>'Koszty kredytów'!G24</f>
        <v>96024920</v>
      </c>
      <c r="G63" s="285">
        <f>'Koszty kredytów'!H24</f>
        <v>93366544</v>
      </c>
      <c r="H63" s="285">
        <f>'Koszty kredytów'!I24</f>
        <v>93366544</v>
      </c>
      <c r="I63" s="285">
        <f>'Koszty kredytów'!J24</f>
        <v>93366544</v>
      </c>
      <c r="J63" s="285">
        <f>'Koszty kredytów'!K24</f>
        <v>93366544</v>
      </c>
      <c r="K63" s="285">
        <f>'Koszty kredytów'!L24</f>
        <v>93366544</v>
      </c>
      <c r="L63" s="286">
        <f>'Koszty kredytów'!M24</f>
        <v>93366567.810000002</v>
      </c>
    </row>
    <row r="64" spans="1:12" ht="18.75" customHeight="1" thickBot="1">
      <c r="A64" s="408"/>
      <c r="B64" s="277" t="s">
        <v>292</v>
      </c>
      <c r="C64" s="278">
        <v>2654824</v>
      </c>
      <c r="D64" s="278">
        <v>42461662</v>
      </c>
      <c r="E64" s="278">
        <v>0</v>
      </c>
      <c r="F64" s="278">
        <v>0</v>
      </c>
      <c r="G64" s="278">
        <v>0</v>
      </c>
      <c r="H64" s="278">
        <v>0</v>
      </c>
      <c r="I64" s="278">
        <v>0</v>
      </c>
      <c r="J64" s="278">
        <v>0</v>
      </c>
      <c r="K64" s="278">
        <v>0</v>
      </c>
      <c r="L64" s="279">
        <v>0</v>
      </c>
    </row>
    <row r="66" spans="2:12" ht="18.75">
      <c r="B66" s="271" t="s">
        <v>295</v>
      </c>
      <c r="C66" s="271" t="str">
        <f>IF(C51+C57=C54+ROUND(C62,0),"TAK","NIE")</f>
        <v>NIE</v>
      </c>
      <c r="D66" s="271" t="str">
        <f t="shared" ref="D66:L66" si="17">IF(D51+D57=D54+ROUND(D62,0),"TAK","NIE")</f>
        <v>NIE</v>
      </c>
      <c r="E66" s="271" t="str">
        <f t="shared" si="17"/>
        <v>TAK</v>
      </c>
      <c r="F66" s="271" t="str">
        <f t="shared" si="17"/>
        <v>TAK</v>
      </c>
      <c r="G66" s="271" t="str">
        <f t="shared" si="17"/>
        <v>TAK</v>
      </c>
      <c r="H66" s="271" t="str">
        <f t="shared" si="17"/>
        <v>TAK</v>
      </c>
      <c r="I66" s="271" t="str">
        <f t="shared" si="17"/>
        <v>TAK</v>
      </c>
      <c r="J66" s="271" t="str">
        <f t="shared" si="17"/>
        <v>TAK</v>
      </c>
      <c r="K66" s="271" t="str">
        <f t="shared" si="17"/>
        <v>TAK</v>
      </c>
      <c r="L66" s="271" t="str">
        <f t="shared" si="17"/>
        <v>TAK</v>
      </c>
    </row>
    <row r="68" spans="2:12" hidden="1">
      <c r="C68" s="53"/>
      <c r="E68" s="92">
        <f>E51+E57</f>
        <v>2010724511</v>
      </c>
      <c r="F68" s="92">
        <f t="shared" ref="F68:L68" si="18">F51+F57</f>
        <v>1532463867</v>
      </c>
      <c r="G68" s="92">
        <f t="shared" si="18"/>
        <v>937852790</v>
      </c>
      <c r="H68" s="92">
        <f t="shared" si="18"/>
        <v>870995699</v>
      </c>
      <c r="I68" s="92">
        <f t="shared" si="18"/>
        <v>878320707</v>
      </c>
      <c r="J68" s="92">
        <f t="shared" si="18"/>
        <v>883993380</v>
      </c>
      <c r="K68" s="92">
        <f t="shared" si="18"/>
        <v>889387133</v>
      </c>
      <c r="L68" s="92">
        <f t="shared" si="18"/>
        <v>895191654</v>
      </c>
    </row>
    <row r="69" spans="2:12" hidden="1">
      <c r="C69" s="53"/>
      <c r="E69" s="92">
        <f>E54+E62</f>
        <v>2010724511</v>
      </c>
      <c r="F69" s="92">
        <f t="shared" ref="F69:L69" si="19">F54+F62</f>
        <v>1532463867</v>
      </c>
      <c r="G69" s="92">
        <f t="shared" si="19"/>
        <v>937852790</v>
      </c>
      <c r="H69" s="92">
        <f t="shared" si="19"/>
        <v>870995699</v>
      </c>
      <c r="I69" s="92">
        <f t="shared" si="19"/>
        <v>878320707</v>
      </c>
      <c r="J69" s="92">
        <f t="shared" si="19"/>
        <v>883993380</v>
      </c>
      <c r="K69" s="92">
        <f t="shared" si="19"/>
        <v>889387133</v>
      </c>
      <c r="L69" s="92">
        <f t="shared" si="19"/>
        <v>895191653.80999994</v>
      </c>
    </row>
    <row r="70" spans="2:12" hidden="1">
      <c r="E70" s="92">
        <f>E68-E69</f>
        <v>0</v>
      </c>
      <c r="F70" s="92">
        <f t="shared" ref="F70:L70" si="20">F68-F69</f>
        <v>0</v>
      </c>
      <c r="G70" s="92">
        <f t="shared" si="20"/>
        <v>0</v>
      </c>
      <c r="H70" s="92">
        <f t="shared" si="20"/>
        <v>0</v>
      </c>
      <c r="I70" s="92">
        <f t="shared" si="20"/>
        <v>0</v>
      </c>
      <c r="J70" s="92">
        <f t="shared" si="20"/>
        <v>0</v>
      </c>
      <c r="K70" s="92">
        <f t="shared" si="20"/>
        <v>0</v>
      </c>
      <c r="L70" s="92">
        <f t="shared" si="20"/>
        <v>0.19000005722045898</v>
      </c>
    </row>
    <row r="71" spans="2:12" hidden="1"/>
    <row r="72" spans="2:12">
      <c r="D72" s="92">
        <f>D51+D57</f>
        <v>1773279248</v>
      </c>
      <c r="E72" s="92">
        <f>E51+E57</f>
        <v>2010724511</v>
      </c>
      <c r="F72" s="92">
        <f>F51+F57</f>
        <v>1532463867</v>
      </c>
      <c r="G72" s="92">
        <f t="shared" ref="G72:L72" si="21">G51+G57</f>
        <v>937852790</v>
      </c>
      <c r="H72" s="92">
        <f t="shared" si="21"/>
        <v>870995699</v>
      </c>
      <c r="I72" s="92">
        <f t="shared" si="21"/>
        <v>878320707</v>
      </c>
      <c r="J72" s="92">
        <f t="shared" si="21"/>
        <v>883993380</v>
      </c>
      <c r="K72" s="92">
        <f t="shared" si="21"/>
        <v>889387133</v>
      </c>
      <c r="L72" s="92">
        <f t="shared" si="21"/>
        <v>895191654</v>
      </c>
    </row>
    <row r="73" spans="2:12">
      <c r="D73" s="92">
        <f>D54+D62</f>
        <v>1773273389.6399999</v>
      </c>
      <c r="E73" s="92">
        <f>E54+E62</f>
        <v>2010724511</v>
      </c>
      <c r="F73" s="92">
        <f>F54+F62</f>
        <v>1532463867</v>
      </c>
      <c r="G73" s="92">
        <f t="shared" ref="G73:L73" si="22">G54+G62</f>
        <v>937852790</v>
      </c>
      <c r="H73" s="92">
        <f t="shared" si="22"/>
        <v>870995699</v>
      </c>
      <c r="I73" s="92">
        <f t="shared" si="22"/>
        <v>878320707</v>
      </c>
      <c r="J73" s="92">
        <f t="shared" si="22"/>
        <v>883993380</v>
      </c>
      <c r="K73" s="92">
        <f t="shared" si="22"/>
        <v>889387133</v>
      </c>
      <c r="L73" s="92">
        <f t="shared" si="22"/>
        <v>895191653.80999994</v>
      </c>
    </row>
    <row r="74" spans="2:12">
      <c r="D74" s="92">
        <f>D72-D73</f>
        <v>5858.3600001335144</v>
      </c>
      <c r="E74" s="92">
        <f>E72-E73</f>
        <v>0</v>
      </c>
      <c r="F74" s="92">
        <f>F72-F73</f>
        <v>0</v>
      </c>
      <c r="G74" s="92">
        <f t="shared" ref="G74:L74" si="23">G72-G73</f>
        <v>0</v>
      </c>
      <c r="H74" s="92">
        <f t="shared" si="23"/>
        <v>0</v>
      </c>
      <c r="I74" s="92">
        <f t="shared" si="23"/>
        <v>0</v>
      </c>
      <c r="J74" s="92">
        <f t="shared" si="23"/>
        <v>0</v>
      </c>
      <c r="K74" s="92">
        <f t="shared" si="23"/>
        <v>0</v>
      </c>
      <c r="L74" s="92">
        <f t="shared" si="23"/>
        <v>0.19000005722045898</v>
      </c>
    </row>
  </sheetData>
  <mergeCells count="10">
    <mergeCell ref="K1:L1"/>
    <mergeCell ref="A2:L2"/>
    <mergeCell ref="A40:B40"/>
    <mergeCell ref="A52:A53"/>
    <mergeCell ref="A58:A61"/>
    <mergeCell ref="A63:A64"/>
    <mergeCell ref="A51:B51"/>
    <mergeCell ref="A54:B54"/>
    <mergeCell ref="A57:B57"/>
    <mergeCell ref="A62:B62"/>
  </mergeCells>
  <pageMargins left="0.23622047244094491" right="0.19685039370078741" top="0.27559055118110237" bottom="0.35433070866141736" header="0.19685039370078741" footer="0.31496062992125984"/>
  <pageSetup paperSize="9" scale="65" orientation="landscape" r:id="rId1"/>
  <rowBreaks count="1" manualBreakCount="1">
    <brk id="48" max="14" man="1"/>
  </rowBreaks>
  <ignoredErrors>
    <ignoredError sqref="D8:L8 D27:L27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4:P22"/>
  <sheetViews>
    <sheetView zoomScale="80" zoomScaleNormal="80" workbookViewId="0">
      <selection activeCell="P10" sqref="P10"/>
    </sheetView>
  </sheetViews>
  <sheetFormatPr defaultRowHeight="14.25"/>
  <cols>
    <col min="1" max="1" width="3.875" customWidth="1"/>
    <col min="2" max="2" width="16.25" customWidth="1"/>
    <col min="3" max="3" width="11.75" customWidth="1"/>
    <col min="4" max="6" width="11.875" customWidth="1"/>
    <col min="7" max="7" width="12.25" customWidth="1"/>
    <col min="8" max="8" width="12.875" customWidth="1"/>
    <col min="9" max="10" width="12.75" bestFit="1" customWidth="1"/>
    <col min="11" max="11" width="11.375" customWidth="1"/>
    <col min="12" max="12" width="11.125" customWidth="1"/>
    <col min="13" max="14" width="10.875" customWidth="1"/>
    <col min="15" max="15" width="11" customWidth="1"/>
    <col min="16" max="16" width="11.375" customWidth="1"/>
  </cols>
  <sheetData>
    <row r="4" spans="1:16" ht="21" customHeight="1">
      <c r="A4" s="418" t="s">
        <v>264</v>
      </c>
      <c r="B4" s="418"/>
      <c r="C4" s="418"/>
      <c r="D4" s="418"/>
      <c r="E4" s="418"/>
      <c r="F4" s="418"/>
    </row>
    <row r="5" spans="1:16" ht="20.25" customHeight="1">
      <c r="A5" s="418"/>
      <c r="B5" s="418"/>
      <c r="C5" s="418"/>
      <c r="D5" s="418"/>
      <c r="E5" s="418"/>
      <c r="F5" s="418"/>
    </row>
    <row r="7" spans="1:16" ht="30" customHeight="1">
      <c r="A7" s="215" t="s">
        <v>136</v>
      </c>
      <c r="B7" s="216" t="s">
        <v>88</v>
      </c>
      <c r="C7" s="215">
        <v>2007</v>
      </c>
      <c r="D7" s="215">
        <v>2008</v>
      </c>
      <c r="E7" s="215">
        <v>2009</v>
      </c>
      <c r="F7" s="215">
        <v>2010</v>
      </c>
      <c r="G7" s="215">
        <v>2011</v>
      </c>
      <c r="H7" s="220">
        <v>2012</v>
      </c>
      <c r="I7" s="215">
        <v>2013</v>
      </c>
      <c r="J7" s="215">
        <v>2014</v>
      </c>
      <c r="K7" s="215">
        <v>2015</v>
      </c>
      <c r="L7" s="215">
        <v>2016</v>
      </c>
      <c r="M7" s="215">
        <v>2017</v>
      </c>
      <c r="N7" s="215">
        <v>2018</v>
      </c>
      <c r="O7" s="215">
        <v>2019</v>
      </c>
      <c r="P7" s="215">
        <v>2020</v>
      </c>
    </row>
    <row r="8" spans="1:16" ht="27.75" customHeight="1">
      <c r="A8" s="217">
        <v>1</v>
      </c>
      <c r="B8" s="218" t="s">
        <v>265</v>
      </c>
      <c r="C8" s="240">
        <v>908833652</v>
      </c>
      <c r="D8" s="240">
        <v>970011048</v>
      </c>
      <c r="E8" s="240">
        <v>1039676314</v>
      </c>
      <c r="F8" s="240">
        <v>946764743</v>
      </c>
      <c r="G8" s="239">
        <v>1104048687.0799999</v>
      </c>
      <c r="H8" s="245">
        <f>'DANE ZBIORCZE'!D52</f>
        <v>1109982998</v>
      </c>
      <c r="I8" s="239">
        <f>'DANE ZBIORCZE'!E52</f>
        <v>1037150920</v>
      </c>
      <c r="J8" s="239">
        <f>'DANE ZBIORCZE'!F52</f>
        <v>927813480</v>
      </c>
      <c r="K8" s="239">
        <f>'DANE ZBIORCZE'!G52</f>
        <v>883690348</v>
      </c>
      <c r="L8" s="239">
        <f>'DANE ZBIORCZE'!H52</f>
        <v>849053099</v>
      </c>
      <c r="M8" s="239">
        <f>'DANE ZBIORCZE'!I52</f>
        <v>854278107</v>
      </c>
      <c r="N8" s="239">
        <f>'DANE ZBIORCZE'!J52</f>
        <v>859950780</v>
      </c>
      <c r="O8" s="239">
        <f>'DANE ZBIORCZE'!K52</f>
        <v>865494533</v>
      </c>
      <c r="P8" s="239">
        <f>'DANE ZBIORCZE'!L52</f>
        <v>871299054</v>
      </c>
    </row>
    <row r="9" spans="1:16" ht="28.5" customHeight="1">
      <c r="A9" s="217">
        <v>2</v>
      </c>
      <c r="B9" s="218" t="s">
        <v>266</v>
      </c>
      <c r="C9" s="240">
        <v>1112502.52</v>
      </c>
      <c r="D9" s="240">
        <v>2389824</v>
      </c>
      <c r="E9" s="240">
        <v>1449243</v>
      </c>
      <c r="F9" s="240">
        <v>6540689</v>
      </c>
      <c r="G9" s="239">
        <v>1520853.82</v>
      </c>
      <c r="H9" s="245">
        <f>'DANE ZBIORCZE'!D24</f>
        <v>5118720</v>
      </c>
      <c r="I9" s="239">
        <f>'DANE ZBIORCZE'!E24</f>
        <v>3746600</v>
      </c>
      <c r="J9" s="239">
        <f>'DANE ZBIORCZE'!F24</f>
        <v>5621600</v>
      </c>
      <c r="K9" s="239">
        <f>'DANE ZBIORCZE'!G24</f>
        <v>2221600</v>
      </c>
      <c r="L9" s="239">
        <f>'DANE ZBIORCZE'!H24</f>
        <v>3446600</v>
      </c>
      <c r="M9" s="239">
        <f>'DANE ZBIORCZE'!I24</f>
        <v>5546600</v>
      </c>
      <c r="N9" s="239">
        <f>'DANE ZBIORCZE'!J24</f>
        <v>5546600</v>
      </c>
      <c r="O9" s="239">
        <f>'DANE ZBIORCZE'!K24</f>
        <v>5396600</v>
      </c>
      <c r="P9" s="239">
        <f>'DANE ZBIORCZE'!L24</f>
        <v>5396600</v>
      </c>
    </row>
    <row r="10" spans="1:16" ht="28.5" customHeight="1">
      <c r="A10" s="217">
        <v>3</v>
      </c>
      <c r="B10" s="218" t="s">
        <v>267</v>
      </c>
      <c r="C10" s="240">
        <v>633547549</v>
      </c>
      <c r="D10" s="240">
        <v>739174464</v>
      </c>
      <c r="E10" s="240">
        <v>920057257</v>
      </c>
      <c r="F10" s="240">
        <v>741059249</v>
      </c>
      <c r="G10" s="239">
        <v>854693160.78999996</v>
      </c>
      <c r="H10" s="245">
        <f>'DANE ZBIORCZE'!D55</f>
        <v>1021552175</v>
      </c>
      <c r="I10" s="239">
        <f>'DANE ZBIORCZE'!E55</f>
        <v>651122632</v>
      </c>
      <c r="J10" s="239">
        <f>'DANE ZBIORCZE'!F55</f>
        <v>599362778</v>
      </c>
      <c r="K10" s="239">
        <f>'DANE ZBIORCZE'!G55</f>
        <v>541664556</v>
      </c>
      <c r="L10" s="239">
        <f>'DANE ZBIORCZE'!H55</f>
        <v>544415512</v>
      </c>
      <c r="M10" s="239">
        <f>'DANE ZBIORCZE'!I55</f>
        <v>551140323</v>
      </c>
      <c r="N10" s="239">
        <f>'DANE ZBIORCZE'!J55</f>
        <v>558317150</v>
      </c>
      <c r="O10" s="239">
        <f>'DANE ZBIORCZE'!K55</f>
        <v>565696346</v>
      </c>
      <c r="P10" s="239">
        <f>'DANE ZBIORCZE'!L55</f>
        <v>573388868</v>
      </c>
    </row>
    <row r="11" spans="1:16" ht="28.5" customHeight="1">
      <c r="A11" s="217">
        <v>4</v>
      </c>
      <c r="B11" s="218" t="s">
        <v>268</v>
      </c>
      <c r="C11" s="240">
        <v>1126385138</v>
      </c>
      <c r="D11" s="240">
        <v>1143036215.1500001</v>
      </c>
      <c r="E11" s="240">
        <v>1533333032</v>
      </c>
      <c r="F11" s="240">
        <v>1338990951</v>
      </c>
      <c r="G11" s="239">
        <v>1345265147.5599999</v>
      </c>
      <c r="H11" s="245">
        <f>'DANE ZBIORCZE'!D51</f>
        <v>1439324469</v>
      </c>
      <c r="I11" s="239">
        <f>'DANE ZBIORCZE'!E51</f>
        <v>1809635244</v>
      </c>
      <c r="J11" s="239">
        <f>'DANE ZBIORCZE'!F51</f>
        <v>1499498423</v>
      </c>
      <c r="K11" s="239">
        <f>'DANE ZBIORCZE'!G51</f>
        <v>937852790</v>
      </c>
      <c r="L11" s="239">
        <f>'DANE ZBIORCZE'!H51</f>
        <v>870995699</v>
      </c>
      <c r="M11" s="239">
        <f>'DANE ZBIORCZE'!I51</f>
        <v>878320707</v>
      </c>
      <c r="N11" s="239">
        <f>'DANE ZBIORCZE'!J51</f>
        <v>883993380</v>
      </c>
      <c r="O11" s="239">
        <f>'DANE ZBIORCZE'!K51</f>
        <v>889387133</v>
      </c>
      <c r="P11" s="239">
        <f>'DANE ZBIORCZE'!L51</f>
        <v>895191654</v>
      </c>
    </row>
    <row r="12" spans="1:16" ht="64.5" customHeight="1">
      <c r="A12" s="217">
        <v>5</v>
      </c>
      <c r="B12" s="218" t="s">
        <v>269</v>
      </c>
      <c r="C12" s="219">
        <f t="shared" ref="C12:P12" si="0">(C8+C9-C10)/C11</f>
        <v>0.24538552240734551</v>
      </c>
      <c r="D12" s="219">
        <f t="shared" si="0"/>
        <v>0.20404113615017333</v>
      </c>
      <c r="E12" s="219">
        <f t="shared" si="0"/>
        <v>7.8957602473407093E-2</v>
      </c>
      <c r="F12" s="219">
        <f t="shared" si="0"/>
        <v>0.15851203687484816</v>
      </c>
      <c r="G12" s="219">
        <f t="shared" si="0"/>
        <v>0.1864884261404019</v>
      </c>
      <c r="H12" s="246">
        <f t="shared" si="0"/>
        <v>6.4995451001396129E-2</v>
      </c>
      <c r="I12" s="241">
        <f t="shared" si="0"/>
        <v>0.21538864768042726</v>
      </c>
      <c r="J12" s="241">
        <f t="shared" si="0"/>
        <v>0.22278936534766866</v>
      </c>
      <c r="K12" s="241">
        <f t="shared" si="0"/>
        <v>0.36705909037174161</v>
      </c>
      <c r="L12" s="241">
        <f t="shared" si="0"/>
        <v>0.35371493493448353</v>
      </c>
      <c r="M12" s="241">
        <f t="shared" si="0"/>
        <v>0.35144837362920101</v>
      </c>
      <c r="N12" s="241">
        <f t="shared" si="0"/>
        <v>0.34749155021952766</v>
      </c>
      <c r="O12" s="241">
        <f t="shared" si="0"/>
        <v>0.34315179034639803</v>
      </c>
      <c r="P12" s="241">
        <f t="shared" si="0"/>
        <v>0.33881770975492137</v>
      </c>
    </row>
    <row r="18" spans="3:3">
      <c r="C18" s="145"/>
    </row>
    <row r="20" spans="3:3">
      <c r="C20" s="145"/>
    </row>
    <row r="22" spans="3:3">
      <c r="C22" s="145"/>
    </row>
  </sheetData>
  <mergeCells count="1">
    <mergeCell ref="A4:F5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65"/>
  <sheetViews>
    <sheetView zoomScale="90" zoomScaleNormal="90" workbookViewId="0">
      <selection activeCell="G25" sqref="G25"/>
    </sheetView>
  </sheetViews>
  <sheetFormatPr defaultRowHeight="14.25"/>
  <cols>
    <col min="1" max="1" width="3.25" customWidth="1"/>
    <col min="2" max="2" width="37.25" customWidth="1"/>
    <col min="3" max="3" width="11.875" customWidth="1"/>
    <col min="4" max="5" width="12" customWidth="1"/>
    <col min="6" max="6" width="11.875" customWidth="1"/>
    <col min="7" max="8" width="11.75" customWidth="1"/>
    <col min="9" max="10" width="11.375" customWidth="1"/>
    <col min="11" max="12" width="11.5" customWidth="1"/>
    <col min="13" max="13" width="11.375" customWidth="1"/>
    <col min="14" max="14" width="10.25" customWidth="1"/>
    <col min="15" max="15" width="10.125" customWidth="1"/>
  </cols>
  <sheetData>
    <row r="1" spans="1:13" ht="16.5" customHeight="1">
      <c r="A1" s="421"/>
      <c r="B1" s="421"/>
    </row>
    <row r="2" spans="1:13" ht="21" customHeight="1">
      <c r="A2" s="420" t="s">
        <v>163</v>
      </c>
      <c r="B2" s="420"/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0"/>
    </row>
    <row r="3" spans="1:13" ht="15" thickBot="1"/>
    <row r="4" spans="1:13" ht="25.5" customHeight="1" thickBot="1">
      <c r="A4" s="100" t="s">
        <v>87</v>
      </c>
      <c r="B4" s="72" t="s">
        <v>88</v>
      </c>
      <c r="C4" s="72">
        <v>2010</v>
      </c>
      <c r="D4" s="72">
        <v>2011</v>
      </c>
      <c r="E4" s="72">
        <v>2012</v>
      </c>
      <c r="F4" s="72">
        <v>2013</v>
      </c>
      <c r="G4" s="72">
        <v>2014</v>
      </c>
      <c r="H4" s="72">
        <v>2015</v>
      </c>
      <c r="I4" s="72">
        <v>2016</v>
      </c>
      <c r="J4" s="72">
        <v>2017</v>
      </c>
      <c r="K4" s="72">
        <v>2018</v>
      </c>
      <c r="L4" s="72">
        <v>2019</v>
      </c>
      <c r="M4" s="73">
        <v>2020</v>
      </c>
    </row>
    <row r="5" spans="1:13" hidden="1">
      <c r="A5" s="74">
        <v>1</v>
      </c>
      <c r="B5" s="75" t="s">
        <v>89</v>
      </c>
      <c r="C5" s="94"/>
      <c r="D5" s="76"/>
      <c r="E5" s="76"/>
      <c r="F5" s="76"/>
      <c r="G5" s="76"/>
      <c r="H5" s="76"/>
      <c r="I5" s="76"/>
      <c r="J5" s="76"/>
      <c r="K5" s="76"/>
      <c r="L5" s="76"/>
      <c r="M5" s="76"/>
    </row>
    <row r="6" spans="1:13" ht="15" hidden="1">
      <c r="A6" s="77" t="s">
        <v>90</v>
      </c>
      <c r="B6" s="78" t="s">
        <v>91</v>
      </c>
      <c r="C6" s="78"/>
      <c r="D6" s="79"/>
      <c r="E6" s="79"/>
      <c r="F6" s="79"/>
      <c r="G6" s="79"/>
      <c r="H6" s="79"/>
      <c r="I6" s="79"/>
      <c r="J6" s="79"/>
      <c r="K6" s="79"/>
      <c r="L6" s="79"/>
      <c r="M6" s="79"/>
    </row>
    <row r="7" spans="1:13" ht="15" hidden="1">
      <c r="A7" s="77" t="s">
        <v>92</v>
      </c>
      <c r="B7" s="78" t="s">
        <v>93</v>
      </c>
      <c r="C7" s="78"/>
      <c r="D7" s="79"/>
      <c r="E7" s="79"/>
      <c r="F7" s="79"/>
      <c r="G7" s="79"/>
      <c r="H7" s="79"/>
      <c r="I7" s="79"/>
      <c r="J7" s="79"/>
      <c r="K7" s="79"/>
      <c r="L7" s="79"/>
      <c r="M7" s="79"/>
    </row>
    <row r="8" spans="1:13" ht="15" hidden="1">
      <c r="A8" s="77" t="s">
        <v>94</v>
      </c>
      <c r="B8" s="78" t="s">
        <v>95</v>
      </c>
      <c r="C8" s="78"/>
      <c r="D8" s="79"/>
      <c r="E8" s="79"/>
      <c r="F8" s="79"/>
      <c r="G8" s="79"/>
      <c r="H8" s="79"/>
      <c r="I8" s="79"/>
      <c r="J8" s="79"/>
      <c r="K8" s="79"/>
      <c r="L8" s="79"/>
      <c r="M8" s="80"/>
    </row>
    <row r="9" spans="1:13" ht="38.25" hidden="1">
      <c r="A9" s="81">
        <v>2</v>
      </c>
      <c r="B9" s="82" t="s">
        <v>96</v>
      </c>
      <c r="C9" s="82"/>
      <c r="D9" s="79"/>
      <c r="E9" s="79"/>
      <c r="F9" s="79"/>
      <c r="G9" s="79"/>
      <c r="H9" s="79"/>
      <c r="I9" s="79"/>
      <c r="J9" s="79"/>
      <c r="K9" s="79"/>
      <c r="L9" s="79"/>
      <c r="M9" s="80"/>
    </row>
    <row r="10" spans="1:13" ht="15" hidden="1">
      <c r="A10" s="77" t="s">
        <v>90</v>
      </c>
      <c r="B10" s="83" t="s">
        <v>97</v>
      </c>
      <c r="C10" s="83"/>
      <c r="D10" s="79"/>
      <c r="E10" s="79"/>
      <c r="F10" s="79"/>
      <c r="G10" s="79"/>
      <c r="H10" s="79"/>
      <c r="I10" s="79"/>
      <c r="J10" s="79"/>
      <c r="K10" s="79"/>
      <c r="L10" s="79"/>
      <c r="M10" s="80"/>
    </row>
    <row r="11" spans="1:13" ht="15" hidden="1">
      <c r="A11" s="77" t="s">
        <v>92</v>
      </c>
      <c r="B11" s="83" t="s">
        <v>98</v>
      </c>
      <c r="C11" s="83"/>
      <c r="D11" s="79"/>
      <c r="E11" s="79"/>
      <c r="F11" s="79"/>
      <c r="G11" s="79"/>
      <c r="H11" s="79"/>
      <c r="I11" s="79"/>
      <c r="J11" s="79"/>
      <c r="K11" s="79"/>
      <c r="L11" s="79"/>
      <c r="M11" s="80"/>
    </row>
    <row r="12" spans="1:13" ht="15" hidden="1">
      <c r="A12" s="77" t="s">
        <v>94</v>
      </c>
      <c r="B12" s="83" t="s">
        <v>99</v>
      </c>
      <c r="C12" s="83"/>
      <c r="D12" s="79"/>
      <c r="E12" s="79"/>
      <c r="F12" s="79"/>
      <c r="G12" s="79"/>
      <c r="H12" s="79"/>
      <c r="I12" s="79"/>
      <c r="J12" s="79"/>
      <c r="K12" s="79"/>
      <c r="L12" s="79"/>
      <c r="M12" s="80"/>
    </row>
    <row r="13" spans="1:13" ht="45" hidden="1">
      <c r="A13" s="77" t="s">
        <v>100</v>
      </c>
      <c r="B13" s="83" t="s">
        <v>101</v>
      </c>
      <c r="C13" s="83"/>
      <c r="D13" s="79"/>
      <c r="E13" s="79"/>
      <c r="F13" s="79"/>
      <c r="G13" s="79"/>
      <c r="H13" s="79"/>
      <c r="I13" s="79"/>
      <c r="J13" s="79"/>
      <c r="K13" s="79"/>
      <c r="L13" s="79"/>
      <c r="M13" s="80"/>
    </row>
    <row r="14" spans="1:13" ht="15" hidden="1">
      <c r="A14" s="77" t="s">
        <v>102</v>
      </c>
      <c r="B14" s="83" t="s">
        <v>103</v>
      </c>
      <c r="C14" s="83"/>
      <c r="D14" s="79"/>
      <c r="E14" s="79"/>
      <c r="F14" s="79"/>
      <c r="G14" s="79"/>
      <c r="H14" s="79"/>
      <c r="I14" s="79"/>
      <c r="J14" s="79"/>
      <c r="K14" s="79"/>
      <c r="L14" s="79"/>
      <c r="M14" s="79"/>
    </row>
    <row r="15" spans="1:13" ht="15" hidden="1">
      <c r="A15" s="77" t="s">
        <v>104</v>
      </c>
      <c r="B15" s="83" t="s">
        <v>105</v>
      </c>
      <c r="C15" s="83"/>
      <c r="D15" s="79"/>
      <c r="E15" s="79"/>
      <c r="F15" s="79"/>
      <c r="G15" s="79"/>
      <c r="H15" s="79"/>
      <c r="I15" s="79"/>
      <c r="J15" s="79"/>
      <c r="K15" s="79"/>
      <c r="L15" s="79"/>
      <c r="M15" s="79"/>
    </row>
    <row r="16" spans="1:13" ht="15" hidden="1">
      <c r="A16" s="77" t="s">
        <v>106</v>
      </c>
      <c r="B16" s="83" t="s">
        <v>107</v>
      </c>
      <c r="C16" s="83"/>
      <c r="D16" s="79"/>
      <c r="E16" s="79"/>
      <c r="F16" s="79"/>
      <c r="G16" s="79"/>
      <c r="H16" s="79"/>
      <c r="I16" s="79"/>
      <c r="J16" s="79"/>
      <c r="K16" s="79"/>
      <c r="L16" s="79"/>
      <c r="M16" s="80"/>
    </row>
    <row r="17" spans="1:15" ht="30" hidden="1">
      <c r="A17" s="77" t="s">
        <v>108</v>
      </c>
      <c r="B17" s="83" t="s">
        <v>109</v>
      </c>
      <c r="C17" s="83"/>
      <c r="D17" s="79"/>
      <c r="E17" s="79"/>
      <c r="F17" s="79"/>
      <c r="G17" s="79"/>
      <c r="H17" s="79"/>
      <c r="I17" s="79"/>
      <c r="J17" s="79"/>
      <c r="K17" s="79"/>
      <c r="L17" s="79"/>
      <c r="M17" s="80"/>
    </row>
    <row r="18" spans="1:15" ht="25.5" hidden="1">
      <c r="A18" s="81">
        <v>3</v>
      </c>
      <c r="B18" s="82" t="s">
        <v>110</v>
      </c>
      <c r="C18" s="82"/>
      <c r="D18" s="79"/>
      <c r="E18" s="79"/>
      <c r="F18" s="79"/>
      <c r="G18" s="79"/>
      <c r="H18" s="79"/>
      <c r="I18" s="79"/>
      <c r="J18" s="79"/>
      <c r="K18" s="79"/>
      <c r="L18" s="79"/>
      <c r="M18" s="80"/>
    </row>
    <row r="19" spans="1:15" ht="25.5" hidden="1">
      <c r="A19" s="81">
        <v>4</v>
      </c>
      <c r="B19" s="82" t="s">
        <v>111</v>
      </c>
      <c r="C19" s="82"/>
      <c r="D19" s="79"/>
      <c r="E19" s="79"/>
      <c r="F19" s="79"/>
      <c r="G19" s="79"/>
      <c r="H19" s="79"/>
      <c r="I19" s="79"/>
      <c r="J19" s="79"/>
      <c r="K19" s="79"/>
      <c r="L19" s="79"/>
      <c r="M19" s="79"/>
    </row>
    <row r="20" spans="1:15" ht="45" hidden="1">
      <c r="A20" s="77" t="s">
        <v>90</v>
      </c>
      <c r="B20" s="83" t="s">
        <v>112</v>
      </c>
      <c r="C20" s="83"/>
      <c r="D20" s="79"/>
      <c r="E20" s="79"/>
      <c r="F20" s="79"/>
      <c r="G20" s="79"/>
      <c r="H20" s="79"/>
      <c r="I20" s="79"/>
      <c r="J20" s="79"/>
      <c r="K20" s="79"/>
      <c r="L20" s="79"/>
      <c r="M20" s="79"/>
    </row>
    <row r="21" spans="1:15" hidden="1">
      <c r="A21" s="81">
        <v>5</v>
      </c>
      <c r="B21" s="84" t="s">
        <v>113</v>
      </c>
      <c r="C21" s="84"/>
      <c r="D21" s="79"/>
      <c r="E21" s="79"/>
      <c r="F21" s="79"/>
      <c r="G21" s="79"/>
      <c r="H21" s="79"/>
      <c r="I21" s="79"/>
      <c r="J21" s="79"/>
      <c r="K21" s="79"/>
      <c r="L21" s="79"/>
      <c r="M21" s="79"/>
    </row>
    <row r="22" spans="1:15" hidden="1">
      <c r="A22" s="81">
        <v>6</v>
      </c>
      <c r="B22" s="84" t="s">
        <v>114</v>
      </c>
      <c r="C22" s="84"/>
      <c r="D22" s="79"/>
      <c r="E22" s="79"/>
      <c r="F22" s="79"/>
      <c r="G22" s="79"/>
      <c r="H22" s="79"/>
      <c r="I22" s="79"/>
      <c r="J22" s="79"/>
      <c r="K22" s="79"/>
      <c r="L22" s="79"/>
      <c r="M22" s="80"/>
    </row>
    <row r="23" spans="1:15" ht="35.25" customHeight="1">
      <c r="A23" s="97">
        <v>1</v>
      </c>
      <c r="B23" s="98" t="s">
        <v>115</v>
      </c>
      <c r="C23" s="99">
        <f>SUM(C24:C26)</f>
        <v>9851935.3200000003</v>
      </c>
      <c r="D23" s="99">
        <f t="shared" ref="D23:M23" si="0">SUM(D24:D26)</f>
        <v>30927068.109999999</v>
      </c>
      <c r="E23" s="99">
        <f t="shared" si="0"/>
        <v>65928619.313025363</v>
      </c>
      <c r="F23" s="99">
        <f t="shared" si="0"/>
        <v>99706095.661779583</v>
      </c>
      <c r="G23" s="99">
        <f t="shared" si="0"/>
        <v>132255910.83525574</v>
      </c>
      <c r="H23" s="99">
        <f t="shared" si="0"/>
        <v>121562269.27428082</v>
      </c>
      <c r="I23" s="99">
        <f t="shared" si="0"/>
        <v>116871072.43368219</v>
      </c>
      <c r="J23" s="99">
        <f t="shared" si="0"/>
        <v>111667742.92886165</v>
      </c>
      <c r="K23" s="99">
        <f t="shared" si="0"/>
        <v>106511229.44549726</v>
      </c>
      <c r="L23" s="99">
        <f t="shared" si="0"/>
        <v>101206367.11987534</v>
      </c>
      <c r="M23" s="99">
        <f t="shared" si="0"/>
        <v>96311098.998761654</v>
      </c>
      <c r="O23" s="27"/>
    </row>
    <row r="24" spans="1:15" ht="32.25" customHeight="1">
      <c r="A24" s="77"/>
      <c r="B24" s="85" t="s">
        <v>127</v>
      </c>
      <c r="C24" s="79">
        <v>8000000</v>
      </c>
      <c r="D24" s="79">
        <f>'2009(40 mln)'!F16+'2010(Stadion)'!F28+'2010(Drogi)'!F28+'2010(Kultura, Akcje+Elfy)'!F28</f>
        <v>22177476.960000001</v>
      </c>
      <c r="E24" s="79">
        <f>'2009(40 mln)'!F28+'2010(Stadion)'!F40+'2010(Drogi)'!F40+'2010(Kultura, Akcje+Elfy)'!F40+'2011(90mln)'!F28+'2011(57mln)'!F28+'2011(18mln)'!F28+'2011(31mln)'!F28</f>
        <v>43395713.639999993</v>
      </c>
      <c r="F24" s="105">
        <f>'2009(40 mln)'!F40+'2010(Stadion)'!F52+'2010(Drogi)'!F52+'2010(Kultura, Akcje+Elfy)'!F52+'2011(90mln)'!F40+'2011(57mln)'!F40+'2011(18mln)'!F40+'2011(31mln)'!F40+'2012(Stadion)'!F28+'2012(Drogi)'!F28+'2012(KL)'!F28</f>
        <v>68446166</v>
      </c>
      <c r="G24" s="105">
        <f>'2009(40 mln)'!F52+'2010(Stadion)'!F64+'2010(Drogi)'!F64+'2010(Kultura, Akcje+Elfy)'!F64+'2011(90mln)'!F52+'2011(57mln)'!F52+'2011(18mln)'!F52+'2011(31mln)'!F52+'2012(Stadion)'!F40+'2012(Drogi)'!F40+'2012(KL)'!F40+'KREDYT 2013'!F27</f>
        <v>96024920</v>
      </c>
      <c r="H24" s="265">
        <f>'2010(Stadion)'!F76+'2010(Drogi)'!F76+'2010(Kultura, Akcje+Elfy)'!F76+'2011(90mln)'!F64+'2011(57mln)'!F64+'2011(18mln)'!F64+'2011(31mln)'!F64+'2012(Stadion)'!F52+'2012(Drogi)'!F52+'2012(KL)'!F52+'KREDYT 2013'!F39+'KREDYT 2014'!F27</f>
        <v>93366544</v>
      </c>
      <c r="I24" s="105">
        <f>'2010(Stadion)'!F88+'2010(Drogi)'!F88+'2010(Kultura, Akcje+Elfy)'!F88+'2011(90mln)'!F76+'2011(57mln)'!F76+'2011(18mln)'!F76+'2011(31mln)'!F76+'2012(Stadion)'!F64+'2012(Drogi)'!F64+'2012(KL)'!F64+'KREDYT 2013'!F51+'KREDYT 2014'!F39</f>
        <v>93366544</v>
      </c>
      <c r="J24" s="105">
        <f>'2010(Stadion)'!F100+'2010(Drogi)'!F100+'2010(Kultura, Akcje+Elfy)'!F100+'2011(90mln)'!F88+'2011(57mln)'!F88+'2011(18mln)'!F88+'2011(31mln)'!F88+'2012(Stadion)'!F76+'2012(Drogi)'!F76+'2012(KL)'!F76+'KREDYT 2013'!F63+'KREDYT 2014'!F51</f>
        <v>93366544</v>
      </c>
      <c r="K24" s="105">
        <f>'2010(Stadion)'!F112+'2010(Drogi)'!F112+'2010(Kultura, Akcje+Elfy)'!F112+'2011(90mln)'!F100+'2011(57mln)'!F100+'2011(18mln)'!F100+'2011(31mln)'!F100+'2012(Stadion)'!F88+'2012(Drogi)'!F88+'2012(KL)'!F88+'KREDYT 2013'!F75+'KREDYT 2014'!F63</f>
        <v>93366544</v>
      </c>
      <c r="L24" s="105">
        <f>'2010(Stadion)'!F124+'2010(Drogi)'!F124+'2010(Kultura, Akcje+Elfy)'!F124+'2011(90mln)'!F112+'2011(57mln)'!F112+'2011(18mln)'!F112+'2011(31mln)'!F112+'2012(Stadion)'!F100+'2012(Drogi)'!F100+'2012(KL)'!F100+'KREDYT 2013'!F87+'KREDYT 2014'!F75</f>
        <v>93366544</v>
      </c>
      <c r="M24" s="105">
        <f>'2010(Stadion)'!F136+'2010(Drogi)'!F136+'2010(Kultura, Akcje+Elfy)'!F136+'2011(90mln)'!F124+'2011(57mln)'!F124+'2011(18mln)'!F124+'2011(31mln)'!F124+'2012(Stadion)'!F112+'2012(Drogi)'!F112+'2012(KL)'!F112+'KREDYT 2013'!F99+'KREDYT 2014'!F87</f>
        <v>93366567.810000002</v>
      </c>
      <c r="O24" s="93"/>
    </row>
    <row r="25" spans="1:15" ht="31.5" customHeight="1">
      <c r="A25" s="77"/>
      <c r="B25" s="86" t="s">
        <v>128</v>
      </c>
      <c r="C25" s="79">
        <f>550859.71+483837.91+434378.84+382858.86</f>
        <v>1851935.3199999998</v>
      </c>
      <c r="D25" s="79">
        <f>'2009(40 mln)'!C14+'2010(Stadion)'!C27+'2010(Drogi)'!C27+'2010(Kultura, Akcje+Elfy)'!C27</f>
        <v>8749591.1500000004</v>
      </c>
      <c r="E25" s="105">
        <f>'2009(40 mln)'!C27+'2010(Stadion)'!C39+'2010(Drogi)'!C39+'2010(Kultura, Akcje+Elfy)'!C39+'2011(90mln)'!C27+'2011(57mln)'!C27+'2011(18mln)'!C27+'2011(31mln)'!C27-4+353</f>
        <v>22532905.67302537</v>
      </c>
      <c r="F25" s="105">
        <f>'2009(40 mln)'!C39+'2010(Stadion)'!C51+'2010(Drogi)'!C51+'2010(Kultura, Akcje+Elfy)'!C51+'2011(90mln)'!C39+'2011(57mln)'!C39+'2011(18mln)'!C39+'2011(31mln)'!C39+'2012(Stadion)'!C27+'2012(Drogi)'!C27+'2012(KL)'!C27</f>
        <v>31259929.66177959</v>
      </c>
      <c r="G25" s="105">
        <f>'2009(40 mln)'!C51+'2010(Stadion)'!C63+'2010(Drogi)'!C63+'2010(Kultura, Akcje+Elfy)'!C63+'2011(90mln)'!C51+'2011(57mln)'!C51+'2011(18mln)'!C51+'2011(31mln)'!C51+'2012(Stadion)'!C39+'2012(Drogi)'!C39+'2012(KL)'!C39+'KREDYT 2013'!C26</f>
        <v>36230990.83525575</v>
      </c>
      <c r="H25" s="105">
        <f>'2010(Stadion)'!C75+'2010(Drogi)'!C75+'2010(Kultura, Akcje+Elfy)'!C75+'2011(90mln)'!C63+'2011(57mln)'!C63+'2011(18mln)'!C63+'2011(31mln)'!C63+'2012(Stadion)'!C51+'2012(Drogi)'!C51+'2012(KL)'!C51+'KREDYT 2013'!C38+'KREDYT 2014'!C26</f>
        <v>28195725.274280824</v>
      </c>
      <c r="I25" s="105">
        <f>'2010(Stadion)'!C87+'2010(Drogi)'!C87+'2010(Kultura, Akcje+Elfy)'!C87+'2011(90mln)'!C75+'2011(57mln)'!C75+'2011(18mln)'!C75+'2011(31mln)'!C75+'2012(Stadion)'!C63+'2012(Drogi)'!C63+'2012(KL)'!C63+'KREDYT 2013'!C50+'KREDYT 2014'!C38</f>
        <v>23504528.433682192</v>
      </c>
      <c r="J25" s="105">
        <f>'2010(Stadion)'!C99+'2010(Drogi)'!C99+'2010(Kultura, Akcje+Elfy)'!C99+'2011(90mln)'!C87+'2011(57mln)'!C87+'2011(18mln)'!C87+'2011(31mln)'!C87+'2012(Stadion)'!C75+'2012(Drogi)'!C75+'2012(KL)'!C75+'KREDYT 2013'!C62+'KREDYT 2014'!C50</f>
        <v>18301198.928861644</v>
      </c>
      <c r="K25" s="105">
        <f>'2010(Stadion)'!C111+'2010(Drogi)'!C111+'2010(Kultura, Akcje+Elfy)'!C111+'2011(90mln)'!C99+'2011(57mln)'!C99+'2011(18mln)'!C99+'2011(31mln)'!C99+'2012(Stadion)'!C87+'2012(Drogi)'!C87+'2012(KL)'!C87+'KREDYT 2013'!C74+'KREDYT 2014'!C62</f>
        <v>13144685.445497263</v>
      </c>
      <c r="L25" s="105">
        <f>'2010(Stadion)'!C123+'2010(Drogi)'!C123+'2010(Kultura, Akcje+Elfy)'!C123+'2011(90mln)'!C111+'2011(57mln)'!C111+'2011(18mln)'!C111+'2011(31mln)'!C111+'2012(Stadion)'!C99+'2012(Drogi)'!C99+'2012(KL)'!C99+'KREDYT 2013'!C86+'KREDYT 2014'!C74</f>
        <v>7839823.1198753426</v>
      </c>
      <c r="M25" s="106">
        <f>'2010(Stadion)'!C135+'2010(Drogi)'!C135+'2010(Kultura, Akcje+Elfy)'!C135+'2011(90mln)'!C123+'2011(57mln)'!C123+'2011(18mln)'!C123+'2011(31mln)'!C123+'2012(Stadion)'!C111+'2012(Drogi)'!C111+'2012(KL)'!C111+'KREDYT 2013'!C98+'KREDYT 2014'!C86</f>
        <v>2944531.1887616441</v>
      </c>
      <c r="O25" s="93"/>
    </row>
    <row r="26" spans="1:15" ht="25.5" hidden="1">
      <c r="A26" s="81"/>
      <c r="B26" s="87" t="s">
        <v>116</v>
      </c>
      <c r="C26" s="87"/>
      <c r="D26" s="79"/>
      <c r="E26" s="79"/>
      <c r="F26" s="79"/>
      <c r="G26" s="79"/>
      <c r="H26" s="79"/>
      <c r="I26" s="79"/>
      <c r="J26" s="79"/>
      <c r="K26" s="79"/>
      <c r="L26" s="79"/>
      <c r="M26" s="79"/>
      <c r="O26" s="29"/>
    </row>
    <row r="27" spans="1:15" hidden="1">
      <c r="A27" s="81"/>
      <c r="B27" s="84" t="s">
        <v>117</v>
      </c>
      <c r="C27" s="84"/>
      <c r="D27" s="79"/>
      <c r="E27" s="79"/>
      <c r="F27" s="79"/>
      <c r="G27" s="79"/>
      <c r="H27" s="79"/>
      <c r="I27" s="79"/>
      <c r="J27" s="79"/>
      <c r="K27" s="79"/>
      <c r="L27" s="79"/>
      <c r="M27" s="79"/>
      <c r="O27" s="29"/>
    </row>
    <row r="28" spans="1:15" hidden="1">
      <c r="A28" s="81"/>
      <c r="B28" s="84" t="s">
        <v>118</v>
      </c>
      <c r="C28" s="84"/>
      <c r="D28" s="79"/>
      <c r="E28" s="79"/>
      <c r="F28" s="79"/>
      <c r="G28" s="79"/>
      <c r="H28" s="79"/>
      <c r="I28" s="79"/>
      <c r="J28" s="79"/>
      <c r="K28" s="79"/>
      <c r="L28" s="79"/>
      <c r="M28" s="80"/>
      <c r="O28" s="27"/>
    </row>
    <row r="29" spans="1:15" ht="15" hidden="1">
      <c r="A29" s="77"/>
      <c r="B29" s="86" t="s">
        <v>119</v>
      </c>
      <c r="C29" s="86"/>
      <c r="D29" s="79"/>
      <c r="E29" s="79"/>
      <c r="F29" s="79"/>
      <c r="G29" s="79"/>
      <c r="H29" s="79"/>
      <c r="I29" s="79"/>
      <c r="J29" s="79"/>
      <c r="K29" s="79"/>
      <c r="L29" s="79"/>
      <c r="M29" s="80"/>
      <c r="O29" s="27"/>
    </row>
    <row r="30" spans="1:15" hidden="1">
      <c r="A30" s="81"/>
      <c r="B30" s="84" t="s">
        <v>120</v>
      </c>
      <c r="C30" s="84"/>
      <c r="D30" s="79"/>
      <c r="E30" s="79"/>
      <c r="F30" s="79"/>
      <c r="G30" s="79"/>
      <c r="H30" s="79"/>
      <c r="I30" s="79"/>
      <c r="J30" s="79"/>
      <c r="K30" s="79"/>
      <c r="L30" s="79"/>
      <c r="M30" s="79"/>
      <c r="O30" s="27"/>
    </row>
    <row r="31" spans="1:15" hidden="1">
      <c r="A31" s="81"/>
      <c r="B31" s="84" t="s">
        <v>121</v>
      </c>
      <c r="C31" s="84"/>
      <c r="D31" s="79"/>
      <c r="E31" s="79"/>
      <c r="F31" s="79"/>
      <c r="G31" s="79"/>
      <c r="H31" s="79"/>
      <c r="I31" s="79"/>
      <c r="J31" s="79"/>
      <c r="K31" s="79"/>
      <c r="L31" s="79"/>
      <c r="M31" s="79"/>
      <c r="O31" s="27"/>
    </row>
    <row r="32" spans="1:15" ht="15" hidden="1">
      <c r="A32" s="88"/>
      <c r="B32" s="89"/>
      <c r="C32" s="89"/>
      <c r="D32" s="90"/>
      <c r="E32" s="90"/>
      <c r="F32" s="90"/>
      <c r="G32" s="90"/>
      <c r="H32" s="90"/>
      <c r="I32" s="90"/>
      <c r="J32" s="90"/>
      <c r="K32" s="90"/>
      <c r="L32" s="91"/>
      <c r="M32" s="90"/>
    </row>
    <row r="33" spans="1:13" ht="24" customHeight="1">
      <c r="A33" s="77"/>
      <c r="B33" s="86" t="s">
        <v>129</v>
      </c>
      <c r="C33" s="79">
        <f>290400+93132.92</f>
        <v>383532.92</v>
      </c>
      <c r="D33" s="79">
        <v>1350000</v>
      </c>
      <c r="E33" s="79">
        <v>1500000</v>
      </c>
      <c r="F33" s="79">
        <f>'KREDYT 2013'!D106</f>
        <v>772210.51600000006</v>
      </c>
      <c r="G33" s="79">
        <f>'KREDYT 2014'!D94</f>
        <v>128195.12000000001</v>
      </c>
      <c r="H33" s="79"/>
      <c r="I33" s="79"/>
      <c r="J33" s="79"/>
      <c r="K33" s="79"/>
      <c r="L33" s="79"/>
      <c r="M33" s="80"/>
    </row>
    <row r="34" spans="1:13" ht="26.25" customHeight="1">
      <c r="A34" s="81">
        <v>2</v>
      </c>
      <c r="B34" s="84" t="s">
        <v>125</v>
      </c>
      <c r="C34" s="79">
        <f>'Zestawienie kredytów'!G3+'Zestawienie kredytów'!G19+11619</f>
        <v>173786162.77000001</v>
      </c>
      <c r="D34" s="79">
        <f>C34+'Zestawienie kredytów'!F24-D24-11619+10800</f>
        <v>342571452.44999999</v>
      </c>
      <c r="E34" s="79">
        <f>D34+'Zestawienie kredytów'!F36-E24-10800</f>
        <v>499568964.81000006</v>
      </c>
      <c r="F34" s="79">
        <f>E34-F24+'Zestawienie kredytów'!F48</f>
        <v>624175427.81000006</v>
      </c>
      <c r="G34" s="79">
        <f>F34-G24+'Zestawienie kredytów'!F61</f>
        <v>560199287.81000006</v>
      </c>
      <c r="H34" s="79">
        <f t="shared" ref="H34:M34" si="1">G34-H24</f>
        <v>466832743.81000006</v>
      </c>
      <c r="I34" s="79">
        <f t="shared" si="1"/>
        <v>373466199.81000006</v>
      </c>
      <c r="J34" s="79">
        <f t="shared" si="1"/>
        <v>280099655.81000006</v>
      </c>
      <c r="K34" s="79">
        <f t="shared" si="1"/>
        <v>186733111.81000006</v>
      </c>
      <c r="L34" s="79">
        <f t="shared" si="1"/>
        <v>93366567.810000062</v>
      </c>
      <c r="M34" s="79">
        <f t="shared" si="1"/>
        <v>0</v>
      </c>
    </row>
    <row r="35" spans="1:13" ht="24.75" hidden="1" customHeight="1">
      <c r="A35" s="81">
        <v>3</v>
      </c>
      <c r="B35" s="84" t="s">
        <v>143</v>
      </c>
      <c r="C35" s="79"/>
      <c r="D35" s="79">
        <v>451230000</v>
      </c>
      <c r="E35" s="79">
        <v>395760000</v>
      </c>
      <c r="F35" s="79">
        <v>340290000</v>
      </c>
      <c r="G35" s="79">
        <v>284820000</v>
      </c>
      <c r="H35" s="79">
        <v>237350000</v>
      </c>
      <c r="I35" s="79">
        <v>189880000</v>
      </c>
      <c r="J35" s="79">
        <v>142410000</v>
      </c>
      <c r="K35" s="79">
        <v>94940000</v>
      </c>
      <c r="L35" s="79">
        <v>47470000</v>
      </c>
      <c r="M35" s="79">
        <v>0</v>
      </c>
    </row>
    <row r="36" spans="1:13">
      <c r="D36" s="92"/>
    </row>
    <row r="37" spans="1:13" ht="14.25" hidden="1" customHeight="1">
      <c r="C37" s="92"/>
      <c r="D37" s="95"/>
      <c r="E37" s="95"/>
      <c r="F37" s="96"/>
      <c r="G37" s="96"/>
      <c r="H37" s="96"/>
      <c r="I37" s="96"/>
      <c r="J37" s="96"/>
      <c r="K37" s="96"/>
      <c r="L37" s="96"/>
      <c r="M37" s="96"/>
    </row>
    <row r="38" spans="1:13" ht="15" hidden="1" customHeight="1" thickBot="1">
      <c r="C38" s="92"/>
      <c r="D38" s="95"/>
    </row>
    <row r="39" spans="1:13" ht="16.5" hidden="1" customHeight="1" thickBot="1">
      <c r="A39" s="101" t="s">
        <v>136</v>
      </c>
      <c r="B39" s="72" t="s">
        <v>88</v>
      </c>
      <c r="C39" s="72"/>
      <c r="D39" s="72">
        <v>2011</v>
      </c>
      <c r="E39" s="72">
        <v>2012</v>
      </c>
      <c r="F39" s="72">
        <v>2013</v>
      </c>
      <c r="G39" s="72">
        <v>2014</v>
      </c>
      <c r="H39" s="72">
        <v>2015</v>
      </c>
      <c r="I39" s="72">
        <v>2016</v>
      </c>
      <c r="J39" s="72">
        <v>2017</v>
      </c>
      <c r="K39" s="72">
        <v>2018</v>
      </c>
      <c r="L39" s="72">
        <v>2019</v>
      </c>
      <c r="M39" s="73">
        <v>2020</v>
      </c>
    </row>
    <row r="40" spans="1:13" ht="14.25" hidden="1" customHeight="1">
      <c r="A40" s="102">
        <v>1</v>
      </c>
      <c r="B40" s="103" t="s">
        <v>115</v>
      </c>
      <c r="C40" s="103"/>
      <c r="D40" s="104">
        <f>SUM(D41:D42)</f>
        <v>54760002</v>
      </c>
      <c r="E40" s="104">
        <f t="shared" ref="E40:M40" si="2">SUM(E41:E42)</f>
        <v>83751566</v>
      </c>
      <c r="F40" s="104">
        <f t="shared" si="2"/>
        <v>75691872</v>
      </c>
      <c r="G40" s="104">
        <f t="shared" si="2"/>
        <v>72384073</v>
      </c>
      <c r="H40" s="104">
        <f t="shared" si="2"/>
        <v>60638048</v>
      </c>
      <c r="I40" s="104">
        <f t="shared" si="2"/>
        <v>58570760</v>
      </c>
      <c r="J40" s="104">
        <f t="shared" si="2"/>
        <v>56313610</v>
      </c>
      <c r="K40" s="104">
        <f t="shared" si="2"/>
        <v>53770432</v>
      </c>
      <c r="L40" s="104">
        <f t="shared" si="2"/>
        <v>51274103</v>
      </c>
      <c r="M40" s="104">
        <f t="shared" si="2"/>
        <v>48933116</v>
      </c>
    </row>
    <row r="41" spans="1:13" ht="30" hidden="1" customHeight="1">
      <c r="A41" s="77" t="s">
        <v>90</v>
      </c>
      <c r="B41" s="85" t="s">
        <v>137</v>
      </c>
      <c r="C41" s="85"/>
      <c r="D41" s="79">
        <v>33996186</v>
      </c>
      <c r="E41" s="79">
        <v>55470000</v>
      </c>
      <c r="F41" s="79">
        <v>55470000</v>
      </c>
      <c r="G41" s="79">
        <v>55470000</v>
      </c>
      <c r="H41" s="79">
        <v>47470000</v>
      </c>
      <c r="I41" s="79">
        <v>47470000</v>
      </c>
      <c r="J41" s="79">
        <v>47470000</v>
      </c>
      <c r="K41" s="79">
        <v>47470000</v>
      </c>
      <c r="L41" s="79">
        <v>47470000</v>
      </c>
      <c r="M41" s="79">
        <v>47470000</v>
      </c>
    </row>
    <row r="42" spans="1:13" ht="15" hidden="1" customHeight="1">
      <c r="A42" s="77" t="s">
        <v>92</v>
      </c>
      <c r="B42" s="86" t="s">
        <v>138</v>
      </c>
      <c r="C42" s="86"/>
      <c r="D42" s="79">
        <f>20763816</f>
        <v>20763816</v>
      </c>
      <c r="E42" s="79">
        <v>28281566</v>
      </c>
      <c r="F42" s="79">
        <v>20221872</v>
      </c>
      <c r="G42" s="79">
        <v>16914073</v>
      </c>
      <c r="H42" s="79">
        <v>13168048</v>
      </c>
      <c r="I42" s="79">
        <v>11100760</v>
      </c>
      <c r="J42" s="79">
        <v>8843610</v>
      </c>
      <c r="K42" s="79">
        <v>6300432</v>
      </c>
      <c r="L42" s="79">
        <v>3804103</v>
      </c>
      <c r="M42" s="80">
        <v>1463116</v>
      </c>
    </row>
    <row r="43" spans="1:13" ht="14.25" hidden="1" customHeight="1">
      <c r="A43" s="81">
        <v>2</v>
      </c>
      <c r="B43" s="84" t="s">
        <v>125</v>
      </c>
      <c r="C43" s="84"/>
      <c r="D43" s="105">
        <f>451230000</f>
        <v>451230000</v>
      </c>
      <c r="E43" s="105">
        <f>395760000</f>
        <v>395760000</v>
      </c>
      <c r="F43" s="105">
        <f>340290000</f>
        <v>340290000</v>
      </c>
      <c r="G43" s="105">
        <f>284820000</f>
        <v>284820000</v>
      </c>
      <c r="H43" s="105">
        <f>237350000</f>
        <v>237350000</v>
      </c>
      <c r="I43" s="105">
        <f>189880000</f>
        <v>189880000</v>
      </c>
      <c r="J43" s="105">
        <f>142410000</f>
        <v>142410000</v>
      </c>
      <c r="K43" s="105">
        <f>94940000</f>
        <v>94940000</v>
      </c>
      <c r="L43" s="105">
        <f>47470000</f>
        <v>47470000</v>
      </c>
      <c r="M43" s="106">
        <v>0</v>
      </c>
    </row>
    <row r="44" spans="1:13" ht="14.25" hidden="1" customHeight="1"/>
    <row r="45" spans="1:13" ht="48.75" hidden="1" customHeight="1" thickBot="1">
      <c r="A45" s="423" t="s">
        <v>139</v>
      </c>
      <c r="B45" s="423"/>
      <c r="C45" s="423"/>
      <c r="D45" s="423"/>
      <c r="E45" s="423"/>
      <c r="F45" s="423"/>
      <c r="G45" s="423"/>
      <c r="H45" s="423"/>
      <c r="I45" s="423"/>
      <c r="J45" s="423"/>
      <c r="K45" s="423"/>
      <c r="L45" s="423"/>
      <c r="M45" s="423"/>
    </row>
    <row r="46" spans="1:13" ht="31.5" hidden="1" customHeight="1" thickBot="1">
      <c r="A46" s="100" t="s">
        <v>87</v>
      </c>
      <c r="B46" s="424" t="s">
        <v>88</v>
      </c>
      <c r="C46" s="396"/>
      <c r="D46" s="72">
        <v>2011</v>
      </c>
      <c r="E46" s="72">
        <v>2012</v>
      </c>
      <c r="F46" s="72">
        <v>2013</v>
      </c>
      <c r="G46" s="72">
        <v>2014</v>
      </c>
      <c r="H46" s="72">
        <v>2015</v>
      </c>
      <c r="I46" s="72">
        <v>2016</v>
      </c>
      <c r="J46" s="72">
        <v>2017</v>
      </c>
      <c r="K46" s="72">
        <v>2018</v>
      </c>
      <c r="L46" s="72">
        <v>2019</v>
      </c>
      <c r="M46" s="73">
        <v>2020</v>
      </c>
    </row>
    <row r="47" spans="1:13" ht="23.25" hidden="1" customHeight="1">
      <c r="A47" s="97">
        <v>1</v>
      </c>
      <c r="B47" s="107" t="s">
        <v>115</v>
      </c>
      <c r="C47" s="110"/>
      <c r="D47" s="99">
        <f t="shared" ref="D47:M47" si="3">SUM(D48:D50)</f>
        <v>23832933.890000001</v>
      </c>
      <c r="E47" s="99">
        <f t="shared" si="3"/>
        <v>17822946.686974637</v>
      </c>
      <c r="F47" s="99">
        <f t="shared" si="3"/>
        <v>-24014223.66177959</v>
      </c>
      <c r="G47" s="99">
        <f t="shared" si="3"/>
        <v>-59871837.83525575</v>
      </c>
      <c r="H47" s="99">
        <f t="shared" si="3"/>
        <v>-60924221.274280824</v>
      </c>
      <c r="I47" s="99">
        <f t="shared" si="3"/>
        <v>-58300312.433682188</v>
      </c>
      <c r="J47" s="99">
        <f t="shared" si="3"/>
        <v>-55354132.928861648</v>
      </c>
      <c r="K47" s="99">
        <f t="shared" si="3"/>
        <v>-52740797.445497259</v>
      </c>
      <c r="L47" s="99">
        <f t="shared" si="3"/>
        <v>-49932264.119875342</v>
      </c>
      <c r="M47" s="99">
        <f t="shared" si="3"/>
        <v>-47377982.998761646</v>
      </c>
    </row>
    <row r="48" spans="1:13" ht="21" hidden="1" customHeight="1">
      <c r="A48" s="77"/>
      <c r="B48" s="108" t="s">
        <v>127</v>
      </c>
      <c r="C48" s="80"/>
      <c r="D48" s="79">
        <f>D41-D24</f>
        <v>11818709.039999999</v>
      </c>
      <c r="E48" s="79">
        <f t="shared" ref="E48:M48" si="4">E41-E24</f>
        <v>12074286.360000007</v>
      </c>
      <c r="F48" s="79">
        <f t="shared" si="4"/>
        <v>-12976166</v>
      </c>
      <c r="G48" s="79">
        <f t="shared" si="4"/>
        <v>-40554920</v>
      </c>
      <c r="H48" s="79">
        <f t="shared" si="4"/>
        <v>-45896544</v>
      </c>
      <c r="I48" s="79">
        <f t="shared" si="4"/>
        <v>-45896544</v>
      </c>
      <c r="J48" s="79">
        <f t="shared" si="4"/>
        <v>-45896544</v>
      </c>
      <c r="K48" s="79">
        <f t="shared" si="4"/>
        <v>-45896544</v>
      </c>
      <c r="L48" s="79">
        <f t="shared" si="4"/>
        <v>-45896544</v>
      </c>
      <c r="M48" s="79">
        <f t="shared" si="4"/>
        <v>-45896567.810000002</v>
      </c>
    </row>
    <row r="49" spans="1:13" ht="25.5" hidden="1" customHeight="1">
      <c r="A49" s="77"/>
      <c r="B49" s="109" t="s">
        <v>128</v>
      </c>
      <c r="C49" s="80"/>
      <c r="D49" s="79">
        <f>D42-D25</f>
        <v>12014224.85</v>
      </c>
      <c r="E49" s="79">
        <f t="shared" ref="E49:M49" si="5">E42-E25</f>
        <v>5748660.3269746304</v>
      </c>
      <c r="F49" s="79">
        <f t="shared" si="5"/>
        <v>-11038057.66177959</v>
      </c>
      <c r="G49" s="79">
        <f t="shared" si="5"/>
        <v>-19316917.83525575</v>
      </c>
      <c r="H49" s="79">
        <f t="shared" si="5"/>
        <v>-15027677.274280824</v>
      </c>
      <c r="I49" s="79">
        <f t="shared" si="5"/>
        <v>-12403768.433682192</v>
      </c>
      <c r="J49" s="79">
        <f t="shared" si="5"/>
        <v>-9457588.9288616441</v>
      </c>
      <c r="K49" s="79">
        <f t="shared" si="5"/>
        <v>-6844253.4454972632</v>
      </c>
      <c r="L49" s="79">
        <f t="shared" si="5"/>
        <v>-4035720.1198753426</v>
      </c>
      <c r="M49" s="79">
        <f t="shared" si="5"/>
        <v>-1481415.1887616441</v>
      </c>
    </row>
    <row r="50" spans="1:13" ht="14.25" hidden="1" customHeight="1"/>
    <row r="52" spans="1:13">
      <c r="A52" s="422">
        <f>DATE(2012,7,17)</f>
        <v>41107</v>
      </c>
      <c r="B52" s="419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1:13">
      <c r="A53" s="419" t="s">
        <v>141</v>
      </c>
      <c r="B53" s="419"/>
      <c r="C53" s="1"/>
      <c r="D53" s="114"/>
      <c r="E53" s="114"/>
      <c r="F53" s="114"/>
      <c r="G53" s="114"/>
      <c r="H53" s="114"/>
      <c r="I53" s="114"/>
      <c r="J53" s="114"/>
      <c r="K53" s="114"/>
      <c r="L53" s="114"/>
      <c r="M53" s="114"/>
    </row>
    <row r="54" spans="1:13">
      <c r="A54" s="419" t="s">
        <v>140</v>
      </c>
      <c r="B54" s="419"/>
      <c r="C54" s="1"/>
      <c r="D54" s="114"/>
      <c r="E54" s="114"/>
      <c r="F54" s="114"/>
      <c r="G54" s="114"/>
      <c r="H54" s="114"/>
      <c r="I54" s="114"/>
      <c r="J54" s="114"/>
      <c r="K54" s="114"/>
      <c r="L54" s="114"/>
      <c r="M54" s="114"/>
    </row>
    <row r="55" spans="1:13">
      <c r="C55" s="1"/>
      <c r="D55" s="114"/>
      <c r="E55" s="114"/>
      <c r="F55" s="114"/>
      <c r="G55" s="114"/>
      <c r="H55" s="114"/>
      <c r="I55" s="114"/>
      <c r="J55" s="114"/>
      <c r="K55" s="114"/>
      <c r="L55" s="114"/>
      <c r="M55" s="114"/>
    </row>
    <row r="56" spans="1:13">
      <c r="C56" s="114"/>
      <c r="D56" s="114"/>
      <c r="E56" s="114"/>
      <c r="F56" s="114"/>
      <c r="G56" s="114"/>
      <c r="H56" s="114"/>
      <c r="I56" s="114"/>
      <c r="J56" s="114"/>
      <c r="K56" s="114"/>
      <c r="L56" s="114"/>
      <c r="M56" s="1"/>
    </row>
    <row r="57" spans="1:13">
      <c r="C57" s="114"/>
      <c r="D57" s="114"/>
      <c r="E57" s="114"/>
      <c r="F57" s="114"/>
      <c r="G57" s="114"/>
      <c r="H57" s="114"/>
      <c r="I57" s="114"/>
      <c r="J57" s="114"/>
      <c r="K57" s="114"/>
      <c r="L57" s="114"/>
      <c r="M57" s="1"/>
    </row>
    <row r="58" spans="1:13">
      <c r="C58" s="114"/>
      <c r="D58" s="114"/>
      <c r="E58" s="114"/>
      <c r="F58" s="114"/>
      <c r="G58" s="114"/>
      <c r="H58" s="114"/>
      <c r="I58" s="114"/>
      <c r="J58" s="114"/>
      <c r="K58" s="114"/>
      <c r="L58" s="114"/>
      <c r="M58" s="1"/>
    </row>
    <row r="59" spans="1:13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1:13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1:13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1:13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1:13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1:13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3:13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</sheetData>
  <mergeCells count="7">
    <mergeCell ref="A54:B54"/>
    <mergeCell ref="A53:B53"/>
    <mergeCell ref="A2:M2"/>
    <mergeCell ref="A1:B1"/>
    <mergeCell ref="A52:B52"/>
    <mergeCell ref="A45:M45"/>
    <mergeCell ref="B46:C46"/>
  </mergeCells>
  <pageMargins left="0.19685039370078741" right="0.15748031496062992" top="0.43307086614173229" bottom="0.74803149606299213" header="0.15748031496062992" footer="0.31496062992125984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2:G67"/>
  <sheetViews>
    <sheetView topLeftCell="A22" workbookViewId="0">
      <selection activeCell="B38" sqref="B38"/>
    </sheetView>
  </sheetViews>
  <sheetFormatPr defaultRowHeight="14.25"/>
  <cols>
    <col min="1" max="1" width="20" customWidth="1"/>
    <col min="2" max="2" width="17.375" customWidth="1"/>
    <col min="3" max="4" width="15.625" customWidth="1"/>
    <col min="5" max="5" width="2" customWidth="1"/>
    <col min="6" max="6" width="19.125" customWidth="1"/>
  </cols>
  <sheetData>
    <row r="2" spans="1:7" ht="67.5" customHeight="1">
      <c r="A2" s="426" t="s">
        <v>153</v>
      </c>
      <c r="B2" s="426"/>
      <c r="C2" s="426"/>
      <c r="D2" s="426"/>
      <c r="E2" s="426"/>
      <c r="F2" s="426"/>
    </row>
    <row r="3" spans="1:7">
      <c r="A3" s="427"/>
      <c r="B3" s="427"/>
      <c r="C3" s="427"/>
      <c r="D3" s="427"/>
      <c r="F3" s="57" t="s">
        <v>76</v>
      </c>
      <c r="G3" s="58"/>
    </row>
    <row r="4" spans="1:7" ht="15" thickBot="1">
      <c r="D4" s="2" t="s">
        <v>10</v>
      </c>
    </row>
    <row r="5" spans="1:7" ht="39" thickBot="1">
      <c r="A5" s="3" t="s">
        <v>11</v>
      </c>
      <c r="B5" s="4" t="s">
        <v>12</v>
      </c>
      <c r="C5" s="4" t="s">
        <v>13</v>
      </c>
      <c r="D5" s="5" t="s">
        <v>14</v>
      </c>
      <c r="F5" s="59" t="s">
        <v>77</v>
      </c>
    </row>
    <row r="6" spans="1:7" ht="15.75">
      <c r="A6" s="6" t="s">
        <v>79</v>
      </c>
      <c r="B6" s="7"/>
      <c r="C6" s="8"/>
      <c r="D6" s="9"/>
      <c r="F6" s="60"/>
    </row>
    <row r="7" spans="1:7" ht="15.75">
      <c r="A7" s="10">
        <v>31999836</v>
      </c>
      <c r="B7" s="268">
        <v>5.5E-2</v>
      </c>
      <c r="C7" s="269">
        <v>385571.18</v>
      </c>
      <c r="D7" s="13">
        <f>C7+A61</f>
        <v>2385571.1800000002</v>
      </c>
      <c r="F7" s="61">
        <f>$A$61</f>
        <v>2000000</v>
      </c>
    </row>
    <row r="8" spans="1:7" ht="15.75">
      <c r="A8" s="10" t="s">
        <v>80</v>
      </c>
      <c r="B8" s="268"/>
      <c r="C8" s="269"/>
      <c r="D8" s="13"/>
      <c r="F8" s="61"/>
    </row>
    <row r="9" spans="1:7" ht="15.75">
      <c r="A9" s="10">
        <f>A7-F7</f>
        <v>29999836</v>
      </c>
      <c r="B9" s="268">
        <v>5.5E-2</v>
      </c>
      <c r="C9" s="269">
        <v>388644.45</v>
      </c>
      <c r="D9" s="13">
        <f>C9+A61</f>
        <v>2388644.4500000002</v>
      </c>
      <c r="F9" s="61">
        <f>$A$61</f>
        <v>2000000</v>
      </c>
    </row>
    <row r="10" spans="1:7" ht="15.75">
      <c r="A10" s="10" t="s">
        <v>81</v>
      </c>
      <c r="B10" s="268"/>
      <c r="C10" s="269"/>
      <c r="D10" s="13"/>
      <c r="F10" s="61"/>
    </row>
    <row r="11" spans="1:7" ht="15.75">
      <c r="A11" s="10">
        <f>A9-$A$61</f>
        <v>27999836</v>
      </c>
      <c r="B11" s="268">
        <v>5.5E-2</v>
      </c>
      <c r="C11" s="269">
        <v>410427.18</v>
      </c>
      <c r="D11" s="13">
        <f>C11+A61</f>
        <v>2410427.1800000002</v>
      </c>
      <c r="F11" s="61">
        <f>$A$61</f>
        <v>2000000</v>
      </c>
    </row>
    <row r="12" spans="1:7" ht="15.75">
      <c r="A12" s="10" t="s">
        <v>82</v>
      </c>
      <c r="B12" s="268"/>
      <c r="C12" s="269"/>
      <c r="D12" s="13"/>
      <c r="F12" s="61"/>
    </row>
    <row r="13" spans="1:7" ht="16.5" thickBot="1">
      <c r="A13" s="10">
        <f>A11-$A$61</f>
        <v>25999836</v>
      </c>
      <c r="B13" s="268">
        <v>5.5E-2</v>
      </c>
      <c r="C13" s="270">
        <v>356588.25</v>
      </c>
      <c r="D13" s="13">
        <f>C13+A61</f>
        <v>2356588.25</v>
      </c>
      <c r="F13" s="61">
        <f>$A$61</f>
        <v>2000000</v>
      </c>
    </row>
    <row r="14" spans="1:7" ht="15.75">
      <c r="A14" s="15"/>
      <c r="B14" s="16" t="s">
        <v>19</v>
      </c>
      <c r="C14" s="17">
        <f>SUM(C7:C13)</f>
        <v>1541231.06</v>
      </c>
      <c r="D14" s="18"/>
      <c r="F14" s="62"/>
    </row>
    <row r="15" spans="1:7" ht="15.75">
      <c r="A15" s="19"/>
      <c r="B15" s="20"/>
      <c r="C15" s="21"/>
      <c r="D15" s="22"/>
      <c r="F15" s="63"/>
    </row>
    <row r="16" spans="1:7" ht="33.75" thickBot="1">
      <c r="A16" s="23"/>
      <c r="B16" s="24"/>
      <c r="C16" s="25" t="s">
        <v>78</v>
      </c>
      <c r="D16" s="26">
        <f>SUM(D7:D13)+C15</f>
        <v>9541231.0600000005</v>
      </c>
      <c r="F16" s="64">
        <f>SUM(F7:F13)</f>
        <v>8000000</v>
      </c>
    </row>
    <row r="17" spans="1:6" ht="15" thickBot="1">
      <c r="A17" s="27"/>
      <c r="B17" s="27"/>
      <c r="C17" s="27"/>
      <c r="D17" s="27"/>
      <c r="F17" s="67"/>
    </row>
    <row r="18" spans="1:6" ht="39" thickBot="1">
      <c r="A18" s="3" t="s">
        <v>11</v>
      </c>
      <c r="B18" s="4" t="s">
        <v>12</v>
      </c>
      <c r="C18" s="4" t="s">
        <v>13</v>
      </c>
      <c r="D18" s="5" t="s">
        <v>14</v>
      </c>
      <c r="F18" s="59" t="s">
        <v>77</v>
      </c>
    </row>
    <row r="19" spans="1:6" ht="15.75">
      <c r="A19" s="6" t="s">
        <v>22</v>
      </c>
      <c r="B19" s="7"/>
      <c r="C19" s="8"/>
      <c r="D19" s="9"/>
      <c r="F19" s="60"/>
    </row>
    <row r="20" spans="1:6" ht="15.75">
      <c r="A20" s="10">
        <f>A13-A61</f>
        <v>23999836</v>
      </c>
      <c r="B20" s="11">
        <v>6.2E-2</v>
      </c>
      <c r="C20" s="12">
        <f>(A20*B20)/365*91</f>
        <v>370978.28688219178</v>
      </c>
      <c r="D20" s="13">
        <f>C20+A61</f>
        <v>2370978.2868821919</v>
      </c>
      <c r="F20" s="61">
        <v>2000000</v>
      </c>
    </row>
    <row r="21" spans="1:6" ht="15.75">
      <c r="A21" s="10" t="s">
        <v>23</v>
      </c>
      <c r="B21" s="11"/>
      <c r="C21" s="12"/>
      <c r="D21" s="13"/>
      <c r="F21" s="61"/>
    </row>
    <row r="22" spans="1:6" ht="15.75">
      <c r="A22" s="10">
        <f>A20-A61</f>
        <v>21999836</v>
      </c>
      <c r="B22" s="11">
        <v>6.2E-2</v>
      </c>
      <c r="C22" s="12">
        <f>(A22*B22)/365*91</f>
        <v>340063.21838904108</v>
      </c>
      <c r="D22" s="13">
        <f>C22+A61</f>
        <v>2340063.2183890413</v>
      </c>
      <c r="F22" s="61">
        <f>$A$61</f>
        <v>2000000</v>
      </c>
    </row>
    <row r="23" spans="1:6" ht="15.75">
      <c r="A23" s="10" t="s">
        <v>24</v>
      </c>
      <c r="B23" s="11"/>
      <c r="C23" s="12"/>
      <c r="D23" s="13"/>
      <c r="F23" s="61"/>
    </row>
    <row r="24" spans="1:6" ht="15.75">
      <c r="A24" s="10">
        <f>A22-A61</f>
        <v>19999836</v>
      </c>
      <c r="B24" s="11">
        <v>6.2E-2</v>
      </c>
      <c r="C24" s="12">
        <f>(A24*B24)/365*92</f>
        <v>312545.38231232873</v>
      </c>
      <c r="D24" s="13">
        <f>C24+A61</f>
        <v>2312545.3823123286</v>
      </c>
      <c r="F24" s="61">
        <f>$A$61</f>
        <v>2000000</v>
      </c>
    </row>
    <row r="25" spans="1:6" ht="15.75">
      <c r="A25" s="10" t="s">
        <v>25</v>
      </c>
      <c r="B25" s="11"/>
      <c r="C25" s="12"/>
      <c r="D25" s="13"/>
      <c r="F25" s="61"/>
    </row>
    <row r="26" spans="1:6" ht="16.5" thickBot="1">
      <c r="A26" s="10">
        <f>A24-A61</f>
        <v>17999836</v>
      </c>
      <c r="B26" s="11">
        <v>6.4000000000000001E-2</v>
      </c>
      <c r="C26" s="14">
        <f>(A26*B26)/365*92</f>
        <v>290364.47772054793</v>
      </c>
      <c r="D26" s="13">
        <f>C26+A61</f>
        <v>2290364.4777205479</v>
      </c>
      <c r="F26" s="61">
        <f>$A$61</f>
        <v>2000000</v>
      </c>
    </row>
    <row r="27" spans="1:6" ht="15.75">
      <c r="A27" s="15"/>
      <c r="B27" s="16" t="s">
        <v>19</v>
      </c>
      <c r="C27" s="17">
        <f>SUM(C20:C26)</f>
        <v>1313951.3653041096</v>
      </c>
      <c r="D27" s="18"/>
      <c r="F27" s="62"/>
    </row>
    <row r="28" spans="1:6" ht="33.75" thickBot="1">
      <c r="A28" s="23"/>
      <c r="B28" s="24"/>
      <c r="C28" s="25" t="s">
        <v>26</v>
      </c>
      <c r="D28" s="26">
        <f>SUM(D20:D26)</f>
        <v>9313951.3653041106</v>
      </c>
      <c r="F28" s="64">
        <f>SUM(F20:F26)</f>
        <v>8000000</v>
      </c>
    </row>
    <row r="29" spans="1:6" ht="15" thickBot="1">
      <c r="A29" s="27"/>
      <c r="B29" s="28"/>
      <c r="C29" s="29"/>
      <c r="D29" s="27"/>
      <c r="F29" s="67"/>
    </row>
    <row r="30" spans="1:6" ht="39" thickBot="1">
      <c r="A30" s="3" t="s">
        <v>11</v>
      </c>
      <c r="B30" s="4" t="s">
        <v>12</v>
      </c>
      <c r="C30" s="4" t="s">
        <v>13</v>
      </c>
      <c r="D30" s="5" t="s">
        <v>14</v>
      </c>
      <c r="F30" s="59" t="s">
        <v>77</v>
      </c>
    </row>
    <row r="31" spans="1:6" ht="15.75">
      <c r="A31" s="6" t="s">
        <v>27</v>
      </c>
      <c r="B31" s="7"/>
      <c r="C31" s="8"/>
      <c r="D31" s="9"/>
      <c r="F31" s="60"/>
    </row>
    <row r="32" spans="1:6" ht="15.75">
      <c r="A32" s="10">
        <f>A26-A61</f>
        <v>15999836</v>
      </c>
      <c r="B32" s="11">
        <v>0.06</v>
      </c>
      <c r="C32" s="12">
        <f>(A32*B32)/365*90</f>
        <v>236709.9024657534</v>
      </c>
      <c r="D32" s="13">
        <f>C32+A61</f>
        <v>2236709.9024657533</v>
      </c>
      <c r="F32" s="61">
        <f>$A$61</f>
        <v>2000000</v>
      </c>
    </row>
    <row r="33" spans="1:6" ht="15.75">
      <c r="A33" s="10" t="s">
        <v>28</v>
      </c>
      <c r="B33" s="11"/>
      <c r="C33" s="12"/>
      <c r="D33" s="13"/>
      <c r="F33" s="61"/>
    </row>
    <row r="34" spans="1:6" ht="15.75">
      <c r="A34" s="10">
        <f>A32-A61</f>
        <v>13999836</v>
      </c>
      <c r="B34" s="11">
        <v>0.06</v>
      </c>
      <c r="C34" s="12">
        <f>(A34*B34)/365*91</f>
        <v>209422.20427397257</v>
      </c>
      <c r="D34" s="13">
        <f>C34+A61</f>
        <v>2209422.2042739727</v>
      </c>
      <c r="F34" s="61">
        <f>$A$61</f>
        <v>2000000</v>
      </c>
    </row>
    <row r="35" spans="1:6" ht="15.75">
      <c r="A35" s="10" t="s">
        <v>29</v>
      </c>
      <c r="B35" s="11"/>
      <c r="C35" s="12"/>
      <c r="D35" s="13"/>
      <c r="F35" s="61"/>
    </row>
    <row r="36" spans="1:6" ht="15.75">
      <c r="A36" s="10">
        <f>A34-A61</f>
        <v>11999836</v>
      </c>
      <c r="B36" s="11">
        <v>0.06</v>
      </c>
      <c r="C36" s="12">
        <f>(A36*B36)/365*92</f>
        <v>181476.97183561642</v>
      </c>
      <c r="D36" s="13">
        <f>C36+A61</f>
        <v>2181476.9718356165</v>
      </c>
      <c r="F36" s="61">
        <f>$A$61</f>
        <v>2000000</v>
      </c>
    </row>
    <row r="37" spans="1:6" ht="15.75">
      <c r="A37" s="10" t="s">
        <v>30</v>
      </c>
      <c r="B37" s="11"/>
      <c r="C37" s="12"/>
      <c r="D37" s="13"/>
      <c r="F37" s="61"/>
    </row>
    <row r="38" spans="1:6" ht="16.5" thickBot="1">
      <c r="A38" s="10">
        <f>A36-A61</f>
        <v>9999836</v>
      </c>
      <c r="B38" s="11">
        <v>0.06</v>
      </c>
      <c r="C38" s="14">
        <f>(A38*B38)/365*92</f>
        <v>151230.39649315071</v>
      </c>
      <c r="D38" s="13">
        <f>C38+A61</f>
        <v>2151230.3964931509</v>
      </c>
      <c r="F38" s="61">
        <f>$A$61</f>
        <v>2000000</v>
      </c>
    </row>
    <row r="39" spans="1:6" ht="15.75">
      <c r="A39" s="15"/>
      <c r="B39" s="16" t="s">
        <v>19</v>
      </c>
      <c r="C39" s="17">
        <f>SUM(C32:C38)</f>
        <v>778839.47506849316</v>
      </c>
      <c r="D39" s="18"/>
      <c r="F39" s="62"/>
    </row>
    <row r="40" spans="1:6" ht="33.75" thickBot="1">
      <c r="A40" s="30"/>
      <c r="B40" s="31"/>
      <c r="C40" s="32" t="s">
        <v>31</v>
      </c>
      <c r="D40" s="33">
        <f>SUM(D32:D38)</f>
        <v>8778839.4750684947</v>
      </c>
      <c r="F40" s="66">
        <f>SUM(F32:F38)</f>
        <v>8000000</v>
      </c>
    </row>
    <row r="41" spans="1:6" ht="17.25" thickBot="1">
      <c r="A41" s="34"/>
      <c r="B41" s="35"/>
      <c r="C41" s="36"/>
      <c r="D41" s="37"/>
      <c r="F41" s="37"/>
    </row>
    <row r="42" spans="1:6" ht="39" thickBot="1">
      <c r="A42" s="38" t="s">
        <v>11</v>
      </c>
      <c r="B42" s="39" t="s">
        <v>12</v>
      </c>
      <c r="C42" s="39" t="s">
        <v>13</v>
      </c>
      <c r="D42" s="40" t="s">
        <v>14</v>
      </c>
      <c r="F42" s="59" t="s">
        <v>77</v>
      </c>
    </row>
    <row r="43" spans="1:6" ht="15.75">
      <c r="A43" s="6" t="s">
        <v>32</v>
      </c>
      <c r="B43" s="7"/>
      <c r="C43" s="8"/>
      <c r="D43" s="9"/>
      <c r="F43" s="60"/>
    </row>
    <row r="44" spans="1:6" ht="15.75">
      <c r="A44" s="10">
        <f>A38-A61</f>
        <v>7999836</v>
      </c>
      <c r="B44" s="11">
        <v>0.06</v>
      </c>
      <c r="C44" s="12">
        <f>(A44*B44)/365*90</f>
        <v>118353.73808219178</v>
      </c>
      <c r="D44" s="13">
        <f>C44+A61</f>
        <v>2118353.7380821919</v>
      </c>
      <c r="F44" s="61">
        <f>$A$61</f>
        <v>2000000</v>
      </c>
    </row>
    <row r="45" spans="1:6" ht="15.75">
      <c r="A45" s="10" t="s">
        <v>33</v>
      </c>
      <c r="B45" s="11"/>
      <c r="C45" s="12"/>
      <c r="D45" s="13"/>
      <c r="F45" s="61"/>
    </row>
    <row r="46" spans="1:6" ht="15.75">
      <c r="A46" s="10">
        <f>A44-A61</f>
        <v>5999836</v>
      </c>
      <c r="B46" s="11">
        <v>0.06</v>
      </c>
      <c r="C46" s="12">
        <f>(A46*B46)/365*91</f>
        <v>89750.971397260262</v>
      </c>
      <c r="D46" s="13">
        <f>C46+A61</f>
        <v>2089750.9713972602</v>
      </c>
      <c r="F46" s="61">
        <f>$A$61</f>
        <v>2000000</v>
      </c>
    </row>
    <row r="47" spans="1:6" ht="15.75">
      <c r="A47" s="10" t="s">
        <v>34</v>
      </c>
      <c r="B47" s="11"/>
      <c r="C47" s="12"/>
      <c r="D47" s="13"/>
      <c r="F47" s="61"/>
    </row>
    <row r="48" spans="1:6" ht="15.75">
      <c r="A48" s="10">
        <f>A46-A61</f>
        <v>3999836</v>
      </c>
      <c r="B48" s="11">
        <v>0.06</v>
      </c>
      <c r="C48" s="12">
        <f>(A48*B48)/365*92</f>
        <v>60490.670465753428</v>
      </c>
      <c r="D48" s="13">
        <f>C48+A61</f>
        <v>2060490.6704657534</v>
      </c>
      <c r="F48" s="61">
        <f>$A$61</f>
        <v>2000000</v>
      </c>
    </row>
    <row r="49" spans="1:6" ht="15.75">
      <c r="A49" s="10" t="s">
        <v>35</v>
      </c>
      <c r="B49" s="11"/>
      <c r="C49" s="12"/>
      <c r="D49" s="13"/>
      <c r="F49" s="61"/>
    </row>
    <row r="50" spans="1:6" ht="16.5" thickBot="1">
      <c r="A50" s="10">
        <f>A48-A61</f>
        <v>1999836</v>
      </c>
      <c r="B50" s="11">
        <v>0.06</v>
      </c>
      <c r="C50" s="14">
        <f>(A50*B50)/365*92</f>
        <v>30244.095123287665</v>
      </c>
      <c r="D50" s="13">
        <f>C50+F50</f>
        <v>2030080.0951232878</v>
      </c>
      <c r="F50" s="61">
        <v>1999836</v>
      </c>
    </row>
    <row r="51" spans="1:6" ht="15.75">
      <c r="A51" s="15"/>
      <c r="B51" s="16" t="s">
        <v>19</v>
      </c>
      <c r="C51" s="17">
        <f>SUM(C44:C50)</f>
        <v>298839.47506849311</v>
      </c>
      <c r="D51" s="18"/>
      <c r="F51" s="62"/>
    </row>
    <row r="52" spans="1:6" ht="33.75" thickBot="1">
      <c r="A52" s="23"/>
      <c r="B52" s="24"/>
      <c r="C52" s="25" t="s">
        <v>36</v>
      </c>
      <c r="D52" s="26">
        <f>SUM(D44:D50)</f>
        <v>8298675.4750684928</v>
      </c>
      <c r="F52" s="64">
        <f>SUM(F44:F50)</f>
        <v>7999836</v>
      </c>
    </row>
    <row r="53" spans="1:6" ht="16.5">
      <c r="A53" s="41"/>
      <c r="B53" s="42"/>
      <c r="C53" s="43"/>
      <c r="D53" s="44"/>
      <c r="F53" s="68"/>
    </row>
    <row r="54" spans="1:6" ht="16.5">
      <c r="A54" s="41"/>
      <c r="B54" s="42"/>
      <c r="C54" s="43"/>
      <c r="D54" s="44"/>
      <c r="F54" s="1"/>
    </row>
    <row r="55" spans="1:6" ht="18">
      <c r="A55" s="428" t="s">
        <v>67</v>
      </c>
      <c r="B55" s="428"/>
      <c r="C55" s="428"/>
      <c r="D55" s="48">
        <f>SUM(D57:D59)</f>
        <v>35932697.375441097</v>
      </c>
      <c r="F55" s="376">
        <f>SUM(F16,F28,F40,F52)</f>
        <v>31999836</v>
      </c>
    </row>
    <row r="56" spans="1:6" ht="16.5">
      <c r="A56" s="429" t="s">
        <v>68</v>
      </c>
      <c r="B56" s="429"/>
      <c r="C56" s="429"/>
      <c r="D56" s="49"/>
    </row>
    <row r="57" spans="1:6">
      <c r="A57" s="425" t="s">
        <v>69</v>
      </c>
      <c r="B57" s="425"/>
      <c r="C57" s="425"/>
      <c r="D57" s="50">
        <f>A61*15+1999836</f>
        <v>31999836</v>
      </c>
    </row>
    <row r="58" spans="1:6">
      <c r="A58" s="425" t="s">
        <v>70</v>
      </c>
      <c r="B58" s="425"/>
      <c r="C58" s="425"/>
      <c r="D58" s="50">
        <f>SUM(C14,C27,C39,C51)</f>
        <v>3932861.3754410963</v>
      </c>
    </row>
    <row r="59" spans="1:6">
      <c r="A59" s="425"/>
      <c r="B59" s="425"/>
      <c r="C59" s="425"/>
      <c r="D59" s="50"/>
    </row>
    <row r="60" spans="1:6">
      <c r="A60" s="51" t="s">
        <v>72</v>
      </c>
      <c r="B60" s="52"/>
      <c r="D60" s="53"/>
    </row>
    <row r="61" spans="1:6" ht="15.75">
      <c r="A61" s="373">
        <v>2000000</v>
      </c>
      <c r="B61" s="53"/>
    </row>
    <row r="62" spans="1:6">
      <c r="D62" s="53"/>
    </row>
    <row r="64" spans="1:6" ht="15.75">
      <c r="B64" s="54"/>
    </row>
    <row r="65" spans="1:2">
      <c r="A65" s="52"/>
      <c r="B65" s="55"/>
    </row>
    <row r="66" spans="1:2">
      <c r="A66" s="52"/>
    </row>
    <row r="67" spans="1:2">
      <c r="B67" s="56"/>
    </row>
  </sheetData>
  <mergeCells count="7">
    <mergeCell ref="A59:C59"/>
    <mergeCell ref="A2:F2"/>
    <mergeCell ref="A3:D3"/>
    <mergeCell ref="A55:C55"/>
    <mergeCell ref="A56:C56"/>
    <mergeCell ref="A57:C57"/>
    <mergeCell ref="A58:C58"/>
  </mergeCells>
  <pageMargins left="0.22" right="0.22" top="0.31" bottom="0.42" header="0.17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</sheetPr>
  <dimension ref="A2:F145"/>
  <sheetViews>
    <sheetView topLeftCell="A34" workbookViewId="0">
      <selection activeCell="B49" sqref="B49"/>
    </sheetView>
  </sheetViews>
  <sheetFormatPr defaultRowHeight="14.25"/>
  <cols>
    <col min="1" max="1" width="19.5" customWidth="1"/>
    <col min="2" max="3" width="15.625" customWidth="1"/>
    <col min="4" max="4" width="14.75" customWidth="1"/>
    <col min="5" max="5" width="2.5" customWidth="1"/>
    <col min="6" max="6" width="19.125" customWidth="1"/>
  </cols>
  <sheetData>
    <row r="2" spans="1:6" ht="67.5" customHeight="1">
      <c r="A2" s="426" t="s">
        <v>154</v>
      </c>
      <c r="B2" s="426"/>
      <c r="C2" s="426"/>
      <c r="D2" s="426"/>
      <c r="E2" s="426"/>
      <c r="F2" s="426"/>
    </row>
    <row r="3" spans="1:6">
      <c r="A3" s="427" t="s">
        <v>84</v>
      </c>
      <c r="B3" s="427"/>
      <c r="C3" s="427"/>
      <c r="D3" s="427"/>
      <c r="F3" s="57" t="s">
        <v>76</v>
      </c>
    </row>
    <row r="4" spans="1:6" ht="15" thickBot="1">
      <c r="D4" s="2" t="s">
        <v>10</v>
      </c>
    </row>
    <row r="5" spans="1:6" ht="39" thickBot="1">
      <c r="A5" s="3" t="s">
        <v>11</v>
      </c>
      <c r="B5" s="4" t="s">
        <v>12</v>
      </c>
      <c r="C5" s="4" t="s">
        <v>13</v>
      </c>
      <c r="D5" s="5" t="s">
        <v>14</v>
      </c>
      <c r="F5" s="59" t="s">
        <v>77</v>
      </c>
    </row>
    <row r="6" spans="1:6" ht="15.75">
      <c r="A6" s="6" t="s">
        <v>15</v>
      </c>
      <c r="B6" s="7"/>
      <c r="C6" s="8"/>
      <c r="D6" s="9"/>
      <c r="F6" s="60"/>
    </row>
    <row r="7" spans="1:6" ht="15.75">
      <c r="A7" s="10"/>
      <c r="B7" s="11">
        <v>0</v>
      </c>
      <c r="C7" s="12">
        <f>(A7*B7)/365*90</f>
        <v>0</v>
      </c>
      <c r="D7" s="13">
        <v>0</v>
      </c>
      <c r="F7" s="61">
        <v>0</v>
      </c>
    </row>
    <row r="8" spans="1:6" ht="15.75">
      <c r="A8" s="10" t="s">
        <v>16</v>
      </c>
      <c r="B8" s="11"/>
      <c r="C8" s="12"/>
      <c r="D8" s="13"/>
      <c r="F8" s="61"/>
    </row>
    <row r="9" spans="1:6" ht="15.75">
      <c r="A9" s="10"/>
      <c r="B9" s="11">
        <v>0</v>
      </c>
      <c r="C9" s="12">
        <f>(A9*B9)/365*90</f>
        <v>0</v>
      </c>
      <c r="D9" s="13">
        <v>0</v>
      </c>
      <c r="F9" s="61">
        <v>0</v>
      </c>
    </row>
    <row r="10" spans="1:6" ht="15.75">
      <c r="A10" s="10" t="s">
        <v>17</v>
      </c>
      <c r="B10" s="11"/>
      <c r="C10" s="12"/>
      <c r="D10" s="13"/>
      <c r="F10" s="61"/>
    </row>
    <row r="11" spans="1:6" ht="15.75">
      <c r="A11" s="10"/>
      <c r="B11" s="11">
        <v>0</v>
      </c>
      <c r="C11" s="12">
        <f>(A11*B11)/365*90</f>
        <v>0</v>
      </c>
      <c r="D11" s="13">
        <v>0</v>
      </c>
      <c r="F11" s="61">
        <v>0</v>
      </c>
    </row>
    <row r="12" spans="1:6" ht="15.75">
      <c r="A12" s="10" t="s">
        <v>18</v>
      </c>
      <c r="B12" s="11"/>
      <c r="C12" s="12"/>
      <c r="D12" s="13"/>
      <c r="F12" s="61"/>
    </row>
    <row r="13" spans="1:6" ht="16.5" thickBot="1">
      <c r="A13" s="10">
        <f>'Zestawienie kredytów'!F12</f>
        <v>88067020.150000006</v>
      </c>
      <c r="B13" s="11">
        <v>0</v>
      </c>
      <c r="C13" s="14">
        <f>(A13*B13)/365*90</f>
        <v>0</v>
      </c>
      <c r="D13" s="13">
        <f>C13</f>
        <v>0</v>
      </c>
      <c r="F13" s="61">
        <v>0</v>
      </c>
    </row>
    <row r="14" spans="1:6" ht="15.75">
      <c r="A14" s="15"/>
      <c r="B14" s="16" t="s">
        <v>19</v>
      </c>
      <c r="C14" s="17">
        <f>SUM(C7:C13)</f>
        <v>0</v>
      </c>
      <c r="D14" s="18"/>
      <c r="F14" s="62"/>
    </row>
    <row r="15" spans="1:6" ht="15.75">
      <c r="A15" s="19"/>
      <c r="B15" s="70" t="s">
        <v>20</v>
      </c>
      <c r="C15" s="21">
        <f>0.09%*A13</f>
        <v>79260.318135000009</v>
      </c>
      <c r="D15" s="22"/>
      <c r="F15" s="63"/>
    </row>
    <row r="16" spans="1:6" ht="33.75" thickBot="1">
      <c r="A16" s="23"/>
      <c r="B16" s="24"/>
      <c r="C16" s="25" t="s">
        <v>21</v>
      </c>
      <c r="D16" s="26">
        <f>SUM(D7:D13)+C15</f>
        <v>79260.318135000009</v>
      </c>
      <c r="F16" s="64">
        <f>SUM(F7:F13)</f>
        <v>0</v>
      </c>
    </row>
    <row r="17" spans="1:6" ht="15" thickBot="1">
      <c r="A17" s="27"/>
      <c r="B17" s="27"/>
      <c r="C17" s="27"/>
      <c r="D17" s="27"/>
      <c r="F17" s="67"/>
    </row>
    <row r="18" spans="1:6" ht="39" thickBot="1">
      <c r="A18" s="3" t="s">
        <v>11</v>
      </c>
      <c r="B18" s="4" t="s">
        <v>12</v>
      </c>
      <c r="C18" s="4" t="s">
        <v>13</v>
      </c>
      <c r="D18" s="5" t="s">
        <v>14</v>
      </c>
      <c r="F18" s="59" t="s">
        <v>14</v>
      </c>
    </row>
    <row r="19" spans="1:6" ht="15.75">
      <c r="A19" s="6" t="s">
        <v>79</v>
      </c>
      <c r="B19" s="7"/>
      <c r="C19" s="8"/>
      <c r="D19" s="9"/>
      <c r="F19" s="60"/>
    </row>
    <row r="20" spans="1:6" ht="15.75">
      <c r="A20" s="10">
        <f>A13</f>
        <v>88067020.150000006</v>
      </c>
      <c r="B20" s="268">
        <v>5.5E-2</v>
      </c>
      <c r="C20" s="269">
        <v>1010675.6</v>
      </c>
      <c r="D20" s="13">
        <f>C20+A144</f>
        <v>3212351.6</v>
      </c>
      <c r="F20" s="61">
        <f>$A$144</f>
        <v>2201676</v>
      </c>
    </row>
    <row r="21" spans="1:6" ht="15.75">
      <c r="A21" s="10" t="s">
        <v>80</v>
      </c>
      <c r="B21" s="268"/>
      <c r="C21" s="269"/>
      <c r="D21" s="13"/>
      <c r="F21" s="61"/>
    </row>
    <row r="22" spans="1:6" ht="15.75">
      <c r="A22" s="10">
        <f>A20-F20</f>
        <v>85865344.150000006</v>
      </c>
      <c r="B22" s="268">
        <v>5.5E-2</v>
      </c>
      <c r="C22" s="269">
        <v>969487.59</v>
      </c>
      <c r="D22" s="13">
        <f>C22+A144</f>
        <v>3171163.59</v>
      </c>
      <c r="F22" s="61">
        <f>$A$144</f>
        <v>2201676</v>
      </c>
    </row>
    <row r="23" spans="1:6" ht="15.75">
      <c r="A23" s="10" t="s">
        <v>81</v>
      </c>
      <c r="B23" s="268"/>
      <c r="C23" s="269"/>
      <c r="D23" s="13"/>
      <c r="F23" s="61"/>
    </row>
    <row r="24" spans="1:6" ht="15.75">
      <c r="A24" s="10">
        <f>A22-A144</f>
        <v>83663668.150000006</v>
      </c>
      <c r="B24" s="268">
        <v>5.5E-2</v>
      </c>
      <c r="C24" s="269">
        <v>1068847.1000000001</v>
      </c>
      <c r="D24" s="13">
        <f>C24+A144</f>
        <v>3270523.1</v>
      </c>
      <c r="F24" s="61">
        <f>$A$144</f>
        <v>2201676</v>
      </c>
    </row>
    <row r="25" spans="1:6" ht="15.75">
      <c r="A25" s="10" t="s">
        <v>82</v>
      </c>
      <c r="B25" s="268"/>
      <c r="C25" s="269"/>
      <c r="D25" s="13"/>
      <c r="F25" s="61"/>
    </row>
    <row r="26" spans="1:6" ht="16.5" thickBot="1">
      <c r="A26" s="10">
        <f>A24-A144</f>
        <v>81461992.150000006</v>
      </c>
      <c r="B26" s="268">
        <v>0.06</v>
      </c>
      <c r="C26" s="270">
        <v>1026866.25</v>
      </c>
      <c r="D26" s="13">
        <f>C26+A144</f>
        <v>3228542.25</v>
      </c>
      <c r="F26" s="61">
        <f>$A$144</f>
        <v>2201676</v>
      </c>
    </row>
    <row r="27" spans="1:6" ht="15.75">
      <c r="A27" s="15"/>
      <c r="B27" s="16" t="s">
        <v>19</v>
      </c>
      <c r="C27" s="17">
        <f>SUM(C20:C26)</f>
        <v>4075876.54</v>
      </c>
      <c r="D27" s="18"/>
      <c r="F27" s="62"/>
    </row>
    <row r="28" spans="1:6" ht="33.75" thickBot="1">
      <c r="A28" s="23"/>
      <c r="B28" s="24"/>
      <c r="C28" s="25" t="s">
        <v>78</v>
      </c>
      <c r="D28" s="26">
        <f>SUM(D20:D26)</f>
        <v>12882580.539999999</v>
      </c>
      <c r="F28" s="64">
        <f>SUM(F20:F26)</f>
        <v>8806704</v>
      </c>
    </row>
    <row r="29" spans="1:6" ht="15" thickBot="1">
      <c r="A29" s="27"/>
      <c r="B29" s="28"/>
      <c r="C29" s="29"/>
      <c r="D29" s="27"/>
      <c r="F29" s="65"/>
    </row>
    <row r="30" spans="1:6" ht="39" thickBot="1">
      <c r="A30" s="3" t="s">
        <v>11</v>
      </c>
      <c r="B30" s="4" t="s">
        <v>12</v>
      </c>
      <c r="C30" s="4" t="s">
        <v>13</v>
      </c>
      <c r="D30" s="5" t="s">
        <v>14</v>
      </c>
      <c r="F30" s="59" t="s">
        <v>77</v>
      </c>
    </row>
    <row r="31" spans="1:6" ht="15.75">
      <c r="A31" s="6" t="s">
        <v>22</v>
      </c>
      <c r="B31" s="7"/>
      <c r="C31" s="8"/>
      <c r="D31" s="9"/>
      <c r="F31" s="60"/>
    </row>
    <row r="32" spans="1:6" ht="15.75">
      <c r="A32" s="10">
        <f>A26-A144</f>
        <v>79260316.150000006</v>
      </c>
      <c r="B32" s="11">
        <v>5.7000000000000002E-2</v>
      </c>
      <c r="C32" s="12">
        <f>(A32*B32)/365*90</f>
        <v>1113987.457121918</v>
      </c>
      <c r="D32" s="13">
        <f>C32+A144</f>
        <v>3315663.457121918</v>
      </c>
      <c r="F32" s="61">
        <f>$A$144</f>
        <v>2201676</v>
      </c>
    </row>
    <row r="33" spans="1:6" ht="15.75">
      <c r="A33" s="10" t="s">
        <v>23</v>
      </c>
      <c r="B33" s="11"/>
      <c r="C33" s="12"/>
      <c r="D33" s="13"/>
      <c r="F33" s="61"/>
    </row>
    <row r="34" spans="1:6" ht="15.75">
      <c r="A34" s="10">
        <f>A32-A144</f>
        <v>77058640.150000006</v>
      </c>
      <c r="B34" s="11">
        <v>5.7000000000000002E-2</v>
      </c>
      <c r="C34" s="12">
        <f>(A34*B34)/365*92</f>
        <v>1107110.9834153426</v>
      </c>
      <c r="D34" s="13">
        <f>C34+A144</f>
        <v>3308786.9834153429</v>
      </c>
      <c r="F34" s="61">
        <f>$A$144</f>
        <v>2201676</v>
      </c>
    </row>
    <row r="35" spans="1:6" ht="15.75">
      <c r="A35" s="10" t="s">
        <v>24</v>
      </c>
      <c r="B35" s="11"/>
      <c r="C35" s="12"/>
      <c r="D35" s="13"/>
      <c r="F35" s="61"/>
    </row>
    <row r="36" spans="1:6" ht="15.75">
      <c r="A36" s="10">
        <f>A34-A144</f>
        <v>74856964.150000006</v>
      </c>
      <c r="B36" s="11">
        <v>5.7000000000000002E-2</v>
      </c>
      <c r="C36" s="12">
        <f>(A36*B36)/365*92</f>
        <v>1075479.2328838357</v>
      </c>
      <c r="D36" s="13">
        <f>C36+A144</f>
        <v>3277155.2328838357</v>
      </c>
      <c r="F36" s="61">
        <f>$A$144</f>
        <v>2201676</v>
      </c>
    </row>
    <row r="37" spans="1:6" ht="15.75">
      <c r="A37" s="10" t="s">
        <v>25</v>
      </c>
      <c r="B37" s="11"/>
      <c r="C37" s="12"/>
      <c r="D37" s="13"/>
      <c r="F37" s="61"/>
    </row>
    <row r="38" spans="1:6" ht="16.5" thickBot="1">
      <c r="A38" s="10">
        <f>A36-A144</f>
        <v>72655288.150000006</v>
      </c>
      <c r="B38" s="11">
        <v>0.06</v>
      </c>
      <c r="C38" s="14">
        <f>(A38*B38)/365*92</f>
        <v>1098786.8235287671</v>
      </c>
      <c r="D38" s="13">
        <f>C38+A144</f>
        <v>3300462.8235287671</v>
      </c>
      <c r="F38" s="61">
        <f>$A$144</f>
        <v>2201676</v>
      </c>
    </row>
    <row r="39" spans="1:6" ht="15.75">
      <c r="A39" s="15"/>
      <c r="B39" s="16" t="s">
        <v>19</v>
      </c>
      <c r="C39" s="17">
        <f>SUM(C32:C38)</f>
        <v>4395364.4969498636</v>
      </c>
      <c r="D39" s="18"/>
      <c r="F39" s="62"/>
    </row>
    <row r="40" spans="1:6" ht="33.75" thickBot="1">
      <c r="A40" s="23"/>
      <c r="B40" s="24"/>
      <c r="C40" s="25" t="s">
        <v>26</v>
      </c>
      <c r="D40" s="26">
        <f>SUM(D32:D38)</f>
        <v>13202068.496949863</v>
      </c>
      <c r="F40" s="64">
        <f>SUM(F32:F38)</f>
        <v>8806704</v>
      </c>
    </row>
    <row r="41" spans="1:6" ht="15" thickBot="1">
      <c r="A41" s="27"/>
      <c r="B41" s="28"/>
      <c r="C41" s="29"/>
      <c r="D41" s="27"/>
      <c r="F41" s="67"/>
    </row>
    <row r="42" spans="1:6" ht="39" thickBot="1">
      <c r="A42" s="3" t="s">
        <v>11</v>
      </c>
      <c r="B42" s="4" t="s">
        <v>12</v>
      </c>
      <c r="C42" s="4" t="s">
        <v>13</v>
      </c>
      <c r="D42" s="5" t="s">
        <v>14</v>
      </c>
      <c r="F42" s="59" t="s">
        <v>77</v>
      </c>
    </row>
    <row r="43" spans="1:6" ht="15.75">
      <c r="A43" s="6" t="s">
        <v>27</v>
      </c>
      <c r="B43" s="7"/>
      <c r="C43" s="8"/>
      <c r="D43" s="9"/>
      <c r="F43" s="60"/>
    </row>
    <row r="44" spans="1:6" ht="15.75">
      <c r="A44" s="10">
        <f>A38-A144</f>
        <v>70453612.150000006</v>
      </c>
      <c r="B44" s="11">
        <v>5.8999999999999997E-2</v>
      </c>
      <c r="C44" s="12">
        <f>(A44*B44)/365*90</f>
        <v>1024955.2890863015</v>
      </c>
      <c r="D44" s="13">
        <f>C44+A144</f>
        <v>3226631.2890863013</v>
      </c>
      <c r="F44" s="61">
        <f>$A$144</f>
        <v>2201676</v>
      </c>
    </row>
    <row r="45" spans="1:6" ht="15.75">
      <c r="A45" s="10" t="s">
        <v>28</v>
      </c>
      <c r="B45" s="11"/>
      <c r="C45" s="12"/>
      <c r="D45" s="13"/>
      <c r="F45" s="61"/>
    </row>
    <row r="46" spans="1:6" ht="15.75">
      <c r="A46" s="10">
        <f>A44-A144</f>
        <v>68251936.150000006</v>
      </c>
      <c r="B46" s="11">
        <v>5.8999999999999997E-2</v>
      </c>
      <c r="C46" s="12">
        <f>(A46*B46)/365*91</f>
        <v>1003957.9320256165</v>
      </c>
      <c r="D46" s="13">
        <f>C46+A144</f>
        <v>3205633.9320256165</v>
      </c>
      <c r="F46" s="61">
        <f>$A$144</f>
        <v>2201676</v>
      </c>
    </row>
    <row r="47" spans="1:6" ht="15.75">
      <c r="A47" s="10" t="s">
        <v>29</v>
      </c>
      <c r="B47" s="11"/>
      <c r="C47" s="12"/>
      <c r="D47" s="13"/>
      <c r="F47" s="61"/>
    </row>
    <row r="48" spans="1:6" ht="15.75">
      <c r="A48" s="10">
        <f>A46-A144</f>
        <v>66050260.150000006</v>
      </c>
      <c r="B48" s="11">
        <v>5.8999999999999997E-2</v>
      </c>
      <c r="C48" s="12">
        <f>(A48*B48)/365*92</f>
        <v>982248.80025808222</v>
      </c>
      <c r="D48" s="13">
        <f>C48+A144</f>
        <v>3183924.8002580823</v>
      </c>
      <c r="F48" s="61">
        <f>$A$144</f>
        <v>2201676</v>
      </c>
    </row>
    <row r="49" spans="1:6" ht="15.75">
      <c r="A49" s="10" t="s">
        <v>30</v>
      </c>
      <c r="B49" s="11"/>
      <c r="C49" s="12"/>
      <c r="D49" s="13"/>
      <c r="F49" s="61"/>
    </row>
    <row r="50" spans="1:6" ht="16.5" thickBot="1">
      <c r="A50" s="10">
        <f>A48-A144</f>
        <v>63848584.150000006</v>
      </c>
      <c r="B50" s="11">
        <v>5.5E-2</v>
      </c>
      <c r="C50" s="14">
        <f>(A50*B50)/365*92</f>
        <v>885133.79670958919</v>
      </c>
      <c r="D50" s="13">
        <f>C50+A144</f>
        <v>3086809.7967095892</v>
      </c>
      <c r="F50" s="61">
        <f>$A$144</f>
        <v>2201676</v>
      </c>
    </row>
    <row r="51" spans="1:6" ht="15.75">
      <c r="A51" s="15"/>
      <c r="B51" s="16" t="s">
        <v>19</v>
      </c>
      <c r="C51" s="17">
        <f>SUM(C44:C50)</f>
        <v>3896295.8180795894</v>
      </c>
      <c r="D51" s="18"/>
      <c r="F51" s="62"/>
    </row>
    <row r="52" spans="1:6" ht="33.75" thickBot="1">
      <c r="A52" s="30"/>
      <c r="B52" s="31"/>
      <c r="C52" s="32" t="s">
        <v>31</v>
      </c>
      <c r="D52" s="33">
        <f>SUM(D44:D50)</f>
        <v>12702999.818079591</v>
      </c>
      <c r="F52" s="66">
        <f>SUM(F44:F50)</f>
        <v>8806704</v>
      </c>
    </row>
    <row r="53" spans="1:6" ht="17.25" thickBot="1">
      <c r="A53" s="34"/>
      <c r="B53" s="35"/>
      <c r="C53" s="36"/>
      <c r="D53" s="37"/>
      <c r="F53" s="37"/>
    </row>
    <row r="54" spans="1:6" ht="39" thickBot="1">
      <c r="A54" s="38" t="s">
        <v>11</v>
      </c>
      <c r="B54" s="39" t="s">
        <v>12</v>
      </c>
      <c r="C54" s="39" t="s">
        <v>13</v>
      </c>
      <c r="D54" s="40" t="s">
        <v>14</v>
      </c>
      <c r="F54" s="59" t="s">
        <v>77</v>
      </c>
    </row>
    <row r="55" spans="1:6" ht="15.75">
      <c r="A55" s="6" t="s">
        <v>32</v>
      </c>
      <c r="B55" s="7"/>
      <c r="C55" s="8"/>
      <c r="D55" s="9"/>
      <c r="F55" s="60"/>
    </row>
    <row r="56" spans="1:6" ht="15.75">
      <c r="A56" s="10">
        <f>A50-A144</f>
        <v>61646908.150000006</v>
      </c>
      <c r="B56" s="11">
        <v>5.5E-2</v>
      </c>
      <c r="C56" s="12">
        <f>(A56*B56)/365*90</f>
        <v>836033.41189726023</v>
      </c>
      <c r="D56" s="13">
        <f>C56+A144</f>
        <v>3037709.4118972602</v>
      </c>
      <c r="F56" s="61">
        <f>$A$144</f>
        <v>2201676</v>
      </c>
    </row>
    <row r="57" spans="1:6" ht="15.75">
      <c r="A57" s="10" t="s">
        <v>33</v>
      </c>
      <c r="B57" s="11"/>
      <c r="C57" s="12"/>
      <c r="D57" s="13"/>
      <c r="F57" s="61"/>
    </row>
    <row r="58" spans="1:6" ht="15.75">
      <c r="A58" s="10">
        <f>A56-A144</f>
        <v>59445232.150000006</v>
      </c>
      <c r="B58" s="11">
        <v>5.5E-2</v>
      </c>
      <c r="C58" s="12">
        <f>(A58*B58)/365*91</f>
        <v>815132.56687876722</v>
      </c>
      <c r="D58" s="13">
        <f>C58+A144</f>
        <v>3016808.5668787672</v>
      </c>
      <c r="F58" s="61">
        <f>$A$144</f>
        <v>2201676</v>
      </c>
    </row>
    <row r="59" spans="1:6" ht="15.75">
      <c r="A59" s="10" t="s">
        <v>34</v>
      </c>
      <c r="B59" s="11"/>
      <c r="C59" s="12"/>
      <c r="D59" s="13"/>
      <c r="F59" s="61"/>
    </row>
    <row r="60" spans="1:6" ht="15.75">
      <c r="A60" s="10">
        <f>A58-A144</f>
        <v>57243556.150000006</v>
      </c>
      <c r="B60" s="11">
        <v>5.5E-2</v>
      </c>
      <c r="C60" s="12">
        <f>(A60*B60)/365*92</f>
        <v>793568.20306575357</v>
      </c>
      <c r="D60" s="13">
        <f>C60+A144</f>
        <v>2995244.2030657534</v>
      </c>
      <c r="F60" s="61">
        <f>$A$144</f>
        <v>2201676</v>
      </c>
    </row>
    <row r="61" spans="1:6" ht="15.75">
      <c r="A61" s="10" t="s">
        <v>35</v>
      </c>
      <c r="B61" s="11"/>
      <c r="C61" s="12"/>
      <c r="D61" s="13"/>
      <c r="F61" s="61"/>
    </row>
    <row r="62" spans="1:6" ht="16.5" thickBot="1">
      <c r="A62" s="10">
        <f>A60-A144</f>
        <v>55041880.150000006</v>
      </c>
      <c r="B62" s="11">
        <v>0.06</v>
      </c>
      <c r="C62" s="14">
        <f>(A62*B62)/365*92</f>
        <v>832414.18747397268</v>
      </c>
      <c r="D62" s="13">
        <f>C62+A144</f>
        <v>3034090.1874739728</v>
      </c>
      <c r="F62" s="61">
        <f>$A$144</f>
        <v>2201676</v>
      </c>
    </row>
    <row r="63" spans="1:6" ht="15.75">
      <c r="A63" s="15"/>
      <c r="B63" s="16" t="s">
        <v>19</v>
      </c>
      <c r="C63" s="17">
        <f>SUM(C56:C62)</f>
        <v>3277148.3693157537</v>
      </c>
      <c r="D63" s="18"/>
      <c r="F63" s="62"/>
    </row>
    <row r="64" spans="1:6" ht="33.75" thickBot="1">
      <c r="A64" s="23"/>
      <c r="B64" s="24"/>
      <c r="C64" s="25" t="s">
        <v>36</v>
      </c>
      <c r="D64" s="26">
        <f>SUM(D56:D62)</f>
        <v>12083852.369315755</v>
      </c>
      <c r="F64" s="64">
        <f>SUM(F56:F62)</f>
        <v>8806704</v>
      </c>
    </row>
    <row r="65" spans="1:6" ht="17.25" thickBot="1">
      <c r="A65" s="41"/>
      <c r="B65" s="42"/>
      <c r="C65" s="43"/>
      <c r="D65" s="44"/>
      <c r="F65" s="68"/>
    </row>
    <row r="66" spans="1:6" ht="39" thickBot="1">
      <c r="A66" s="45" t="s">
        <v>11</v>
      </c>
      <c r="B66" s="46" t="s">
        <v>12</v>
      </c>
      <c r="C66" s="46" t="s">
        <v>13</v>
      </c>
      <c r="D66" s="47" t="s">
        <v>14</v>
      </c>
      <c r="F66" s="59" t="s">
        <v>77</v>
      </c>
    </row>
    <row r="67" spans="1:6" ht="15.75">
      <c r="A67" s="6" t="s">
        <v>37</v>
      </c>
      <c r="B67" s="7"/>
      <c r="C67" s="8"/>
      <c r="D67" s="9"/>
      <c r="F67" s="60"/>
    </row>
    <row r="68" spans="1:6" ht="15.75">
      <c r="A68" s="10">
        <f>A62-A144</f>
        <v>52840204.150000006</v>
      </c>
      <c r="B68" s="11">
        <v>0.05</v>
      </c>
      <c r="C68" s="12">
        <f>(A68*B68)/365*90</f>
        <v>651454.57171232894</v>
      </c>
      <c r="D68" s="13">
        <f>C68+A144</f>
        <v>2853130.5717123291</v>
      </c>
      <c r="F68" s="61">
        <f>$A$144</f>
        <v>2201676</v>
      </c>
    </row>
    <row r="69" spans="1:6" ht="15.75">
      <c r="A69" s="10" t="s">
        <v>38</v>
      </c>
      <c r="B69" s="11"/>
      <c r="C69" s="12"/>
      <c r="D69" s="13"/>
      <c r="F69" s="61"/>
    </row>
    <row r="70" spans="1:6" ht="15.75">
      <c r="A70" s="10">
        <f>A68-A144</f>
        <v>50638528.150000006</v>
      </c>
      <c r="B70" s="11">
        <v>0.05</v>
      </c>
      <c r="C70" s="12">
        <f>(A70*B70)/365*91</f>
        <v>631247.40570547967</v>
      </c>
      <c r="D70" s="13">
        <f>C70+A144</f>
        <v>2832923.4057054799</v>
      </c>
      <c r="F70" s="61">
        <f>$A$144</f>
        <v>2201676</v>
      </c>
    </row>
    <row r="71" spans="1:6" ht="15.75">
      <c r="A71" s="10" t="s">
        <v>39</v>
      </c>
      <c r="B71" s="11"/>
      <c r="C71" s="12"/>
      <c r="D71" s="13"/>
      <c r="F71" s="61"/>
    </row>
    <row r="72" spans="1:6" ht="15.75">
      <c r="A72" s="10">
        <f>A70-A144</f>
        <v>48436852.150000006</v>
      </c>
      <c r="B72" s="11">
        <v>0.05</v>
      </c>
      <c r="C72" s="12">
        <f>(A72*B72)/365*92</f>
        <v>610437.04079452064</v>
      </c>
      <c r="D72" s="13">
        <f>C72+A144</f>
        <v>2812113.0407945206</v>
      </c>
      <c r="F72" s="61">
        <f>$A$144</f>
        <v>2201676</v>
      </c>
    </row>
    <row r="73" spans="1:6" ht="15.75">
      <c r="A73" s="10" t="s">
        <v>40</v>
      </c>
      <c r="B73" s="11"/>
      <c r="C73" s="12"/>
      <c r="D73" s="13"/>
      <c r="F73" s="61"/>
    </row>
    <row r="74" spans="1:6" ht="16.5" thickBot="1">
      <c r="A74" s="10">
        <f>A72-A144</f>
        <v>46235176.150000006</v>
      </c>
      <c r="B74" s="11">
        <v>0.05</v>
      </c>
      <c r="C74" s="14">
        <f>(A74*B74)/365*92</f>
        <v>582689.89120547962</v>
      </c>
      <c r="D74" s="13">
        <f>C74+A144</f>
        <v>2784365.8912054794</v>
      </c>
      <c r="F74" s="61">
        <f>$A$144</f>
        <v>2201676</v>
      </c>
    </row>
    <row r="75" spans="1:6" ht="15.75">
      <c r="A75" s="15"/>
      <c r="B75" s="16" t="s">
        <v>19</v>
      </c>
      <c r="C75" s="17">
        <f>SUM(C68:C74)</f>
        <v>2475828.909417809</v>
      </c>
      <c r="D75" s="18"/>
      <c r="F75" s="62"/>
    </row>
    <row r="76" spans="1:6" ht="33.75" thickBot="1">
      <c r="A76" s="23"/>
      <c r="B76" s="24"/>
      <c r="C76" s="25" t="s">
        <v>41</v>
      </c>
      <c r="D76" s="26">
        <f>SUM(D68:D74)</f>
        <v>11282532.909417808</v>
      </c>
      <c r="F76" s="64">
        <f>SUM(F68:F74)</f>
        <v>8806704</v>
      </c>
    </row>
    <row r="77" spans="1:6" ht="17.25" thickBot="1">
      <c r="A77" s="41"/>
      <c r="B77" s="42"/>
      <c r="C77" s="43"/>
      <c r="D77" s="44"/>
    </row>
    <row r="78" spans="1:6" ht="39" thickBot="1">
      <c r="A78" s="45" t="s">
        <v>11</v>
      </c>
      <c r="B78" s="46" t="s">
        <v>12</v>
      </c>
      <c r="C78" s="46" t="s">
        <v>13</v>
      </c>
      <c r="D78" s="47" t="s">
        <v>14</v>
      </c>
      <c r="F78" s="59" t="s">
        <v>77</v>
      </c>
    </row>
    <row r="79" spans="1:6" ht="15.75">
      <c r="A79" s="6" t="s">
        <v>42</v>
      </c>
      <c r="B79" s="7"/>
      <c r="C79" s="8"/>
      <c r="D79" s="9"/>
      <c r="F79" s="60"/>
    </row>
    <row r="80" spans="1:6" ht="15.75">
      <c r="A80" s="10">
        <f>A74-A144</f>
        <v>44033500.150000006</v>
      </c>
      <c r="B80" s="11">
        <v>0.05</v>
      </c>
      <c r="C80" s="12">
        <f>(A80*B80)/365*91</f>
        <v>548910.75529452064</v>
      </c>
      <c r="D80" s="13">
        <f>C80+A144</f>
        <v>2750586.7552945204</v>
      </c>
      <c r="F80" s="61">
        <f>$A$144</f>
        <v>2201676</v>
      </c>
    </row>
    <row r="81" spans="1:6" ht="15.75">
      <c r="A81" s="10" t="s">
        <v>43</v>
      </c>
      <c r="B81" s="11"/>
      <c r="C81" s="12"/>
      <c r="D81" s="13"/>
      <c r="F81" s="61"/>
    </row>
    <row r="82" spans="1:6" ht="15.75">
      <c r="A82" s="10">
        <f>A80-A144</f>
        <v>41831824.150000006</v>
      </c>
      <c r="B82" s="11">
        <v>0.05</v>
      </c>
      <c r="C82" s="12">
        <f>(A82*B82)/365*91</f>
        <v>521465.20515753434</v>
      </c>
      <c r="D82" s="13">
        <f>C82+A144</f>
        <v>2723141.2051575342</v>
      </c>
      <c r="F82" s="61">
        <f>$A$144</f>
        <v>2201676</v>
      </c>
    </row>
    <row r="83" spans="1:6" ht="15.75">
      <c r="A83" s="10" t="s">
        <v>44</v>
      </c>
      <c r="B83" s="11"/>
      <c r="C83" s="12"/>
      <c r="D83" s="13"/>
      <c r="F83" s="61"/>
    </row>
    <row r="84" spans="1:6" ht="15.75">
      <c r="A84" s="10">
        <f>A82-A144</f>
        <v>39630148.150000006</v>
      </c>
      <c r="B84" s="11">
        <v>0.05</v>
      </c>
      <c r="C84" s="12">
        <f>(A84*B84)/365*92</f>
        <v>499448.44243835623</v>
      </c>
      <c r="D84" s="13">
        <f>C84+A144</f>
        <v>2701124.4424383561</v>
      </c>
      <c r="F84" s="61">
        <f>$A$144</f>
        <v>2201676</v>
      </c>
    </row>
    <row r="85" spans="1:6" ht="15.75">
      <c r="A85" s="10" t="s">
        <v>45</v>
      </c>
      <c r="B85" s="11"/>
      <c r="C85" s="12"/>
      <c r="D85" s="13"/>
      <c r="F85" s="61"/>
    </row>
    <row r="86" spans="1:6" ht="16.5" thickBot="1">
      <c r="A86" s="10">
        <f>A84-A144</f>
        <v>37428472.150000006</v>
      </c>
      <c r="B86" s="11">
        <v>0.05</v>
      </c>
      <c r="C86" s="14">
        <f>(A86*B86)/365*92</f>
        <v>471701.29284931516</v>
      </c>
      <c r="D86" s="13">
        <f>C86+A144</f>
        <v>2673377.2928493153</v>
      </c>
      <c r="F86" s="61">
        <f>$A$144</f>
        <v>2201676</v>
      </c>
    </row>
    <row r="87" spans="1:6" ht="15.75">
      <c r="A87" s="15"/>
      <c r="B87" s="16" t="s">
        <v>19</v>
      </c>
      <c r="C87" s="17">
        <f>SUM(C80:C86)</f>
        <v>2041525.6957397263</v>
      </c>
      <c r="D87" s="18"/>
      <c r="F87" s="62"/>
    </row>
    <row r="88" spans="1:6" ht="33.75" thickBot="1">
      <c r="A88" s="23"/>
      <c r="B88" s="24"/>
      <c r="C88" s="25" t="s">
        <v>46</v>
      </c>
      <c r="D88" s="26">
        <f>SUM(D80:D86)</f>
        <v>10848229.695739726</v>
      </c>
      <c r="F88" s="64">
        <f>SUM(F80:F86)</f>
        <v>8806704</v>
      </c>
    </row>
    <row r="89" spans="1:6" ht="17.25" thickBot="1">
      <c r="A89" s="41"/>
      <c r="B89" s="42"/>
      <c r="C89" s="43"/>
      <c r="D89" s="44"/>
    </row>
    <row r="90" spans="1:6" ht="39" thickBot="1">
      <c r="A90" s="45" t="s">
        <v>11</v>
      </c>
      <c r="B90" s="46" t="s">
        <v>12</v>
      </c>
      <c r="C90" s="46" t="s">
        <v>13</v>
      </c>
      <c r="D90" s="47" t="s">
        <v>14</v>
      </c>
      <c r="F90" s="59" t="s">
        <v>77</v>
      </c>
    </row>
    <row r="91" spans="1:6" ht="15.75">
      <c r="A91" s="6" t="s">
        <v>47</v>
      </c>
      <c r="B91" s="7"/>
      <c r="C91" s="8"/>
      <c r="D91" s="9"/>
      <c r="F91" s="60"/>
    </row>
    <row r="92" spans="1:6" ht="15.75">
      <c r="A92" s="10">
        <f>A86-A144</f>
        <v>35226796.150000006</v>
      </c>
      <c r="B92" s="11">
        <v>0.05</v>
      </c>
      <c r="C92" s="12">
        <f>(A92*B92)/365*90</f>
        <v>434302.96623287676</v>
      </c>
      <c r="D92" s="13">
        <f>C92+A144</f>
        <v>2635978.9662328768</v>
      </c>
      <c r="F92" s="61">
        <f>$A$144</f>
        <v>2201676</v>
      </c>
    </row>
    <row r="93" spans="1:6" ht="15.75">
      <c r="A93" s="10" t="s">
        <v>48</v>
      </c>
      <c r="B93" s="11"/>
      <c r="C93" s="12"/>
      <c r="D93" s="13"/>
      <c r="F93" s="61"/>
    </row>
    <row r="94" spans="1:6" ht="15.75">
      <c r="A94" s="10">
        <f>A92-A144</f>
        <v>33025120.150000006</v>
      </c>
      <c r="B94" s="11">
        <v>0.05</v>
      </c>
      <c r="C94" s="12">
        <f>(A94*B94)/365*91</f>
        <v>411683.00460958906</v>
      </c>
      <c r="D94" s="13">
        <f>C94+A144</f>
        <v>2613359.004609589</v>
      </c>
      <c r="F94" s="61">
        <f>$A$144</f>
        <v>2201676</v>
      </c>
    </row>
    <row r="95" spans="1:6" ht="15.75">
      <c r="A95" s="10" t="s">
        <v>49</v>
      </c>
      <c r="B95" s="11"/>
      <c r="C95" s="12"/>
      <c r="D95" s="13"/>
      <c r="F95" s="61"/>
    </row>
    <row r="96" spans="1:6" ht="15.75">
      <c r="A96" s="10">
        <f>A94-A144</f>
        <v>30823444.150000006</v>
      </c>
      <c r="B96" s="11">
        <v>0.05</v>
      </c>
      <c r="C96" s="12">
        <f>(A96*B96)/365*92</f>
        <v>388459.84408219188</v>
      </c>
      <c r="D96" s="13">
        <f>C96+A144</f>
        <v>2590135.8440821921</v>
      </c>
      <c r="F96" s="61">
        <f>$A$144</f>
        <v>2201676</v>
      </c>
    </row>
    <row r="97" spans="1:6" ht="15.75">
      <c r="A97" s="10" t="s">
        <v>50</v>
      </c>
      <c r="B97" s="11"/>
      <c r="C97" s="12"/>
      <c r="D97" s="13"/>
      <c r="F97" s="61"/>
    </row>
    <row r="98" spans="1:6" ht="16.5" thickBot="1">
      <c r="A98" s="10">
        <f>A96-A144</f>
        <v>28621768.150000006</v>
      </c>
      <c r="B98" s="11">
        <v>0.05</v>
      </c>
      <c r="C98" s="14">
        <f>(A98*B98)/365*92</f>
        <v>360712.6944931508</v>
      </c>
      <c r="D98" s="13">
        <f>C98+A144</f>
        <v>2562388.6944931508</v>
      </c>
      <c r="F98" s="61">
        <f>$A$144</f>
        <v>2201676</v>
      </c>
    </row>
    <row r="99" spans="1:6" ht="15.75">
      <c r="A99" s="15"/>
      <c r="B99" s="16" t="s">
        <v>19</v>
      </c>
      <c r="C99" s="17">
        <f>SUM(C92:C98)</f>
        <v>1595158.5094178084</v>
      </c>
      <c r="D99" s="18"/>
      <c r="F99" s="62"/>
    </row>
    <row r="100" spans="1:6" ht="33.75" thickBot="1">
      <c r="A100" s="23"/>
      <c r="B100" s="24"/>
      <c r="C100" s="25" t="s">
        <v>51</v>
      </c>
      <c r="D100" s="26">
        <f>SUM(D92:D98)</f>
        <v>10401862.509417808</v>
      </c>
      <c r="F100" s="64">
        <f>SUM(F92:F98)</f>
        <v>8806704</v>
      </c>
    </row>
    <row r="101" spans="1:6" ht="17.25" thickBot="1">
      <c r="A101" s="41"/>
      <c r="B101" s="42"/>
      <c r="C101" s="43"/>
      <c r="D101" s="44"/>
    </row>
    <row r="102" spans="1:6" ht="39" thickBot="1">
      <c r="A102" s="45" t="s">
        <v>11</v>
      </c>
      <c r="B102" s="46" t="s">
        <v>12</v>
      </c>
      <c r="C102" s="46" t="s">
        <v>13</v>
      </c>
      <c r="D102" s="47" t="s">
        <v>14</v>
      </c>
      <c r="F102" s="59" t="s">
        <v>77</v>
      </c>
    </row>
    <row r="103" spans="1:6" ht="15.75">
      <c r="A103" s="6" t="s">
        <v>52</v>
      </c>
      <c r="B103" s="7"/>
      <c r="C103" s="8"/>
      <c r="D103" s="9"/>
      <c r="F103" s="60"/>
    </row>
    <row r="104" spans="1:6" ht="15.75">
      <c r="A104" s="10">
        <f>A98-A144</f>
        <v>26420092.150000006</v>
      </c>
      <c r="B104" s="11">
        <v>0.05</v>
      </c>
      <c r="C104" s="12">
        <f>(A104*B104)/365*90</f>
        <v>325727.16349315079</v>
      </c>
      <c r="D104" s="13">
        <f>C104+A144</f>
        <v>2527403.1634931508</v>
      </c>
      <c r="F104" s="61">
        <f>$A$144</f>
        <v>2201676</v>
      </c>
    </row>
    <row r="105" spans="1:6" ht="15.75">
      <c r="A105" s="10" t="s">
        <v>53</v>
      </c>
      <c r="B105" s="11"/>
      <c r="C105" s="12"/>
      <c r="D105" s="13"/>
      <c r="F105" s="61"/>
    </row>
    <row r="106" spans="1:6" ht="15.75">
      <c r="A106" s="10">
        <f>A104-A144</f>
        <v>24218416.150000006</v>
      </c>
      <c r="B106" s="11">
        <v>0.05</v>
      </c>
      <c r="C106" s="12">
        <f>(A106*B106)/365*91</f>
        <v>301900.80406164395</v>
      </c>
      <c r="D106" s="13">
        <f>C106+A144</f>
        <v>2503576.8040616438</v>
      </c>
      <c r="F106" s="61">
        <f>$A$144</f>
        <v>2201676</v>
      </c>
    </row>
    <row r="107" spans="1:6" ht="15.75">
      <c r="A107" s="10" t="s">
        <v>54</v>
      </c>
      <c r="B107" s="11"/>
      <c r="C107" s="12"/>
      <c r="D107" s="13"/>
      <c r="F107" s="61"/>
    </row>
    <row r="108" spans="1:6" ht="15.75">
      <c r="A108" s="10">
        <f>A106-A144</f>
        <v>22016740.150000006</v>
      </c>
      <c r="B108" s="11">
        <v>0.05</v>
      </c>
      <c r="C108" s="12">
        <f>(A108*B108)/365*92</f>
        <v>277471.24572602747</v>
      </c>
      <c r="D108" s="13">
        <f>C108+A144</f>
        <v>2479147.2457260275</v>
      </c>
      <c r="F108" s="61">
        <f>$A$144</f>
        <v>2201676</v>
      </c>
    </row>
    <row r="109" spans="1:6" ht="15.75">
      <c r="A109" s="10" t="s">
        <v>55</v>
      </c>
      <c r="B109" s="11"/>
      <c r="C109" s="12"/>
      <c r="D109" s="13"/>
      <c r="F109" s="61"/>
    </row>
    <row r="110" spans="1:6" ht="16.5" thickBot="1">
      <c r="A110" s="10">
        <f>A108-A144</f>
        <v>19815064.150000006</v>
      </c>
      <c r="B110" s="11">
        <v>0.05</v>
      </c>
      <c r="C110" s="14">
        <f>(A110*B110)/365*92</f>
        <v>249724.09613698639</v>
      </c>
      <c r="D110" s="13">
        <f>C110+A144</f>
        <v>2451400.0961369863</v>
      </c>
      <c r="F110" s="61">
        <f>$A$144</f>
        <v>2201676</v>
      </c>
    </row>
    <row r="111" spans="1:6" ht="15.75">
      <c r="A111" s="15"/>
      <c r="B111" s="16" t="s">
        <v>19</v>
      </c>
      <c r="C111" s="17">
        <f>SUM(C104:C110)</f>
        <v>1154823.3094178084</v>
      </c>
      <c r="D111" s="18"/>
      <c r="F111" s="62"/>
    </row>
    <row r="112" spans="1:6" ht="33.75" thickBot="1">
      <c r="A112" s="23"/>
      <c r="B112" s="24"/>
      <c r="C112" s="25" t="s">
        <v>56</v>
      </c>
      <c r="D112" s="26">
        <f>SUM(D104:D110)</f>
        <v>9961527.3094178084</v>
      </c>
      <c r="F112" s="64">
        <f>SUM(F104:F110)</f>
        <v>8806704</v>
      </c>
    </row>
    <row r="113" spans="1:6" ht="17.25" thickBot="1">
      <c r="A113" s="41"/>
      <c r="B113" s="42"/>
      <c r="C113" s="43"/>
      <c r="D113" s="44"/>
    </row>
    <row r="114" spans="1:6" ht="39" thickBot="1">
      <c r="A114" s="45" t="s">
        <v>11</v>
      </c>
      <c r="B114" s="46" t="s">
        <v>12</v>
      </c>
      <c r="C114" s="46" t="s">
        <v>13</v>
      </c>
      <c r="D114" s="47" t="s">
        <v>14</v>
      </c>
      <c r="F114" s="59" t="s">
        <v>77</v>
      </c>
    </row>
    <row r="115" spans="1:6" ht="15.75">
      <c r="A115" s="6" t="s">
        <v>57</v>
      </c>
      <c r="B115" s="7"/>
      <c r="C115" s="8"/>
      <c r="D115" s="9"/>
      <c r="F115" s="60"/>
    </row>
    <row r="116" spans="1:6" ht="15.75">
      <c r="A116" s="10">
        <f>A110-A144</f>
        <v>17613388.150000006</v>
      </c>
      <c r="B116" s="11">
        <v>0.05</v>
      </c>
      <c r="C116" s="12">
        <f>(A116*B116)/365*90</f>
        <v>217151.36075342476</v>
      </c>
      <c r="D116" s="13">
        <f>C116+A144</f>
        <v>2418827.3607534249</v>
      </c>
      <c r="F116" s="61">
        <f>$A$144</f>
        <v>2201676</v>
      </c>
    </row>
    <row r="117" spans="1:6" ht="15.75">
      <c r="A117" s="10" t="s">
        <v>58</v>
      </c>
      <c r="B117" s="11"/>
      <c r="C117" s="12"/>
      <c r="D117" s="13"/>
      <c r="F117" s="61"/>
    </row>
    <row r="118" spans="1:6" ht="15.75">
      <c r="A118" s="10">
        <f>A116-A144</f>
        <v>15411712.150000006</v>
      </c>
      <c r="B118" s="11">
        <v>0.05</v>
      </c>
      <c r="C118" s="12">
        <f>(A118*B118)/365*91</f>
        <v>192118.60351369873</v>
      </c>
      <c r="D118" s="13">
        <f>C118+A144</f>
        <v>2393794.6035136986</v>
      </c>
      <c r="F118" s="61">
        <f>$A$144</f>
        <v>2201676</v>
      </c>
    </row>
    <row r="119" spans="1:6" ht="15.75">
      <c r="A119" s="10" t="s">
        <v>59</v>
      </c>
      <c r="B119" s="11"/>
      <c r="C119" s="12"/>
      <c r="D119" s="13"/>
      <c r="F119" s="61"/>
    </row>
    <row r="120" spans="1:6" ht="15.75">
      <c r="A120" s="10">
        <f>A118-A144</f>
        <v>13210036.150000006</v>
      </c>
      <c r="B120" s="11">
        <v>0.05</v>
      </c>
      <c r="C120" s="12">
        <f>(A120*B120)/365*92</f>
        <v>166482.64736986312</v>
      </c>
      <c r="D120" s="13">
        <f>C120+A144</f>
        <v>2368158.647369863</v>
      </c>
      <c r="F120" s="61">
        <f>$A$144</f>
        <v>2201676</v>
      </c>
    </row>
    <row r="121" spans="1:6" ht="15.75">
      <c r="A121" s="10" t="s">
        <v>60</v>
      </c>
      <c r="B121" s="11"/>
      <c r="C121" s="12"/>
      <c r="D121" s="13"/>
      <c r="F121" s="61"/>
    </row>
    <row r="122" spans="1:6" ht="16.5" thickBot="1">
      <c r="A122" s="10">
        <f>A120-A144</f>
        <v>11008360.150000006</v>
      </c>
      <c r="B122" s="11">
        <v>0.05</v>
      </c>
      <c r="C122" s="14">
        <f>(A122*B122)/365*92</f>
        <v>138735.49778082198</v>
      </c>
      <c r="D122" s="13">
        <f>C122+A144</f>
        <v>2340411.4977808222</v>
      </c>
      <c r="F122" s="61">
        <f>$A$144</f>
        <v>2201676</v>
      </c>
    </row>
    <row r="123" spans="1:6" ht="15.75">
      <c r="A123" s="15"/>
      <c r="B123" s="16" t="s">
        <v>19</v>
      </c>
      <c r="C123" s="17">
        <f>SUM(C116:C122)</f>
        <v>714488.10941780859</v>
      </c>
      <c r="D123" s="18"/>
      <c r="F123" s="62"/>
    </row>
    <row r="124" spans="1:6" ht="33.75" thickBot="1">
      <c r="A124" s="23"/>
      <c r="B124" s="24"/>
      <c r="C124" s="25" t="s">
        <v>61</v>
      </c>
      <c r="D124" s="26">
        <f>SUM(D116:D122)</f>
        <v>9521192.1094178092</v>
      </c>
      <c r="F124" s="64">
        <f>SUM(F116:F122)</f>
        <v>8806704</v>
      </c>
    </row>
    <row r="125" spans="1:6" ht="17.25" thickBot="1">
      <c r="A125" s="41"/>
      <c r="B125" s="42"/>
      <c r="C125" s="43"/>
      <c r="D125" s="44"/>
    </row>
    <row r="126" spans="1:6" ht="39" thickBot="1">
      <c r="A126" s="45" t="s">
        <v>11</v>
      </c>
      <c r="B126" s="46" t="s">
        <v>12</v>
      </c>
      <c r="C126" s="46" t="s">
        <v>13</v>
      </c>
      <c r="D126" s="47" t="s">
        <v>14</v>
      </c>
      <c r="F126" s="59" t="s">
        <v>77</v>
      </c>
    </row>
    <row r="127" spans="1:6" ht="15.75">
      <c r="A127" s="6" t="s">
        <v>62</v>
      </c>
      <c r="B127" s="7"/>
      <c r="C127" s="8"/>
      <c r="D127" s="9"/>
      <c r="F127" s="60"/>
    </row>
    <row r="128" spans="1:6" ht="15.75">
      <c r="A128" s="10">
        <f>A122-A144</f>
        <v>8806684.150000006</v>
      </c>
      <c r="B128" s="11">
        <v>0.05</v>
      </c>
      <c r="C128" s="12">
        <f>(A128*B128)/365*91</f>
        <v>109781.9531027398</v>
      </c>
      <c r="D128" s="13">
        <f>C128+A144</f>
        <v>2311457.95310274</v>
      </c>
      <c r="F128" s="61">
        <f>$A$144</f>
        <v>2201676</v>
      </c>
    </row>
    <row r="129" spans="1:6" ht="15.75">
      <c r="A129" s="10" t="s">
        <v>63</v>
      </c>
      <c r="B129" s="11"/>
      <c r="C129" s="12"/>
      <c r="D129" s="13"/>
      <c r="F129" s="61"/>
    </row>
    <row r="130" spans="1:6" ht="15.75">
      <c r="A130" s="10">
        <f>A128-A144</f>
        <v>6605008.150000006</v>
      </c>
      <c r="B130" s="11">
        <v>0.05</v>
      </c>
      <c r="C130" s="12">
        <f>(A130*B130)/365*91</f>
        <v>82336.402965753514</v>
      </c>
      <c r="D130" s="13">
        <f>C130+A144</f>
        <v>2284012.4029657533</v>
      </c>
      <c r="F130" s="61">
        <f>$A$144</f>
        <v>2201676</v>
      </c>
    </row>
    <row r="131" spans="1:6" ht="15.75">
      <c r="A131" s="10" t="s">
        <v>64</v>
      </c>
      <c r="B131" s="11"/>
      <c r="C131" s="12"/>
      <c r="D131" s="13"/>
      <c r="F131" s="61"/>
    </row>
    <row r="132" spans="1:6" ht="15.75">
      <c r="A132" s="10">
        <f>A130-A144</f>
        <v>4403332.150000006</v>
      </c>
      <c r="B132" s="11">
        <v>0.05</v>
      </c>
      <c r="C132" s="12">
        <f>(A132*B132)/365*92</f>
        <v>55494.049013698706</v>
      </c>
      <c r="D132" s="13">
        <f>C132+A144</f>
        <v>2257170.0490136985</v>
      </c>
      <c r="F132" s="61">
        <f>$A$144</f>
        <v>2201676</v>
      </c>
    </row>
    <row r="133" spans="1:6" ht="15.75">
      <c r="A133" s="10" t="s">
        <v>65</v>
      </c>
      <c r="B133" s="11"/>
      <c r="C133" s="12"/>
      <c r="D133" s="13"/>
      <c r="F133" s="61"/>
    </row>
    <row r="134" spans="1:6" ht="16.5" thickBot="1">
      <c r="A134" s="10">
        <f>A132-A144</f>
        <v>2201656.150000006</v>
      </c>
      <c r="B134" s="11">
        <v>0.05</v>
      </c>
      <c r="C134" s="14">
        <f>(A134*B134)/365*92</f>
        <v>27746.899424657608</v>
      </c>
      <c r="D134" s="13">
        <f>C134+A145</f>
        <v>2229403.0494246576</v>
      </c>
      <c r="F134" s="61">
        <f>A145</f>
        <v>2201656.15</v>
      </c>
    </row>
    <row r="135" spans="1:6" ht="15.75">
      <c r="A135" s="15"/>
      <c r="B135" s="16" t="s">
        <v>19</v>
      </c>
      <c r="C135" s="17">
        <f>SUM(C128:C134)</f>
        <v>275359.30450684967</v>
      </c>
      <c r="D135" s="18"/>
      <c r="F135" s="62"/>
    </row>
    <row r="136" spans="1:6" ht="33.75" thickBot="1">
      <c r="A136" s="23"/>
      <c r="B136" s="24"/>
      <c r="C136" s="25" t="s">
        <v>66</v>
      </c>
      <c r="D136" s="26">
        <f>SUM(D128:D134)</f>
        <v>9082043.4545068499</v>
      </c>
      <c r="F136" s="64">
        <f>SUM(F128:F134)</f>
        <v>8806684.1500000004</v>
      </c>
    </row>
    <row r="137" spans="1:6" ht="16.5">
      <c r="A137" s="41"/>
      <c r="B137" s="42"/>
      <c r="C137" s="43"/>
      <c r="D137" s="44"/>
    </row>
    <row r="138" spans="1:6" ht="18">
      <c r="A138" s="428" t="s">
        <v>67</v>
      </c>
      <c r="B138" s="428"/>
      <c r="C138" s="428"/>
      <c r="D138" s="69">
        <f>SUM(D140:D142)</f>
        <v>112048149.53039801</v>
      </c>
      <c r="F138" s="375">
        <f>SUM(F16,F28,F40,F52,F64,F76,F88,F100,F112,F124,F136)</f>
        <v>88067020.150000006</v>
      </c>
    </row>
    <row r="139" spans="1:6" ht="16.5">
      <c r="A139" s="429" t="s">
        <v>68</v>
      </c>
      <c r="B139" s="429"/>
      <c r="C139" s="429"/>
      <c r="D139" s="49"/>
    </row>
    <row r="140" spans="1:6">
      <c r="A140" s="425" t="s">
        <v>69</v>
      </c>
      <c r="B140" s="425"/>
      <c r="C140" s="425"/>
      <c r="D140" s="50">
        <f>A144*39+A145</f>
        <v>88067020.150000006</v>
      </c>
    </row>
    <row r="141" spans="1:6">
      <c r="A141" s="425" t="s">
        <v>70</v>
      </c>
      <c r="B141" s="425"/>
      <c r="C141" s="425"/>
      <c r="D141" s="50">
        <f>SUM(C14,C27,C39,C51,C63,C75,C87,C99,C111,C123,C135)</f>
        <v>23901869.062263019</v>
      </c>
      <c r="F141" s="53"/>
    </row>
    <row r="142" spans="1:6">
      <c r="A142" s="425" t="s">
        <v>71</v>
      </c>
      <c r="B142" s="425"/>
      <c r="C142" s="425"/>
      <c r="D142" s="50">
        <f>C15</f>
        <v>79260.318135000009</v>
      </c>
    </row>
    <row r="143" spans="1:6">
      <c r="A143" s="51" t="s">
        <v>72</v>
      </c>
      <c r="B143" s="111"/>
    </row>
    <row r="144" spans="1:6" ht="15.75">
      <c r="A144" s="378">
        <v>2201676</v>
      </c>
      <c r="B144" s="27" t="s">
        <v>173</v>
      </c>
      <c r="C144" s="421" t="s">
        <v>83</v>
      </c>
      <c r="D144" s="421"/>
    </row>
    <row r="145" spans="1:4" ht="15.75">
      <c r="A145" s="379">
        <v>2201656.15</v>
      </c>
      <c r="B145" s="27" t="s">
        <v>145</v>
      </c>
      <c r="D145" s="377">
        <f>SUM(D141:D142)</f>
        <v>23981129.38039802</v>
      </c>
    </row>
  </sheetData>
  <mergeCells count="8">
    <mergeCell ref="A142:C142"/>
    <mergeCell ref="C144:D144"/>
    <mergeCell ref="A2:F2"/>
    <mergeCell ref="A3:D3"/>
    <mergeCell ref="A138:C138"/>
    <mergeCell ref="A139:C139"/>
    <mergeCell ref="A140:C140"/>
    <mergeCell ref="A141:C141"/>
  </mergeCells>
  <pageMargins left="0.34" right="0.28000000000000003" top="0.3" bottom="0.42" header="0.18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</sheetPr>
  <dimension ref="A2:F145"/>
  <sheetViews>
    <sheetView topLeftCell="A31" zoomScale="85" zoomScaleNormal="85" workbookViewId="0">
      <selection activeCell="B51" sqref="B51"/>
    </sheetView>
  </sheetViews>
  <sheetFormatPr defaultRowHeight="14.25"/>
  <cols>
    <col min="1" max="1" width="19.5" customWidth="1"/>
    <col min="2" max="2" width="14.625" customWidth="1"/>
    <col min="3" max="3" width="15.625" customWidth="1"/>
    <col min="4" max="4" width="14.75" customWidth="1"/>
    <col min="5" max="5" width="2.5" customWidth="1"/>
    <col min="6" max="6" width="19.125" customWidth="1"/>
  </cols>
  <sheetData>
    <row r="2" spans="1:6" ht="67.5" customHeight="1">
      <c r="A2" s="426" t="s">
        <v>154</v>
      </c>
      <c r="B2" s="426"/>
      <c r="C2" s="426"/>
      <c r="D2" s="426"/>
      <c r="E2" s="426"/>
      <c r="F2" s="426"/>
    </row>
    <row r="3" spans="1:6">
      <c r="A3" s="427" t="s">
        <v>86</v>
      </c>
      <c r="B3" s="427"/>
      <c r="C3" s="427"/>
      <c r="D3" s="427"/>
      <c r="F3" s="57" t="s">
        <v>76</v>
      </c>
    </row>
    <row r="4" spans="1:6" ht="15" thickBot="1">
      <c r="D4" s="2" t="s">
        <v>10</v>
      </c>
    </row>
    <row r="5" spans="1:6" ht="39" thickBot="1">
      <c r="A5" s="3" t="s">
        <v>11</v>
      </c>
      <c r="B5" s="4" t="s">
        <v>12</v>
      </c>
      <c r="C5" s="4" t="s">
        <v>13</v>
      </c>
      <c r="D5" s="5" t="s">
        <v>14</v>
      </c>
      <c r="F5" s="59" t="s">
        <v>77</v>
      </c>
    </row>
    <row r="6" spans="1:6" ht="15.75">
      <c r="A6" s="6" t="s">
        <v>15</v>
      </c>
      <c r="B6" s="7"/>
      <c r="C6" s="8"/>
      <c r="D6" s="9"/>
      <c r="F6" s="60"/>
    </row>
    <row r="7" spans="1:6" ht="15.75">
      <c r="A7" s="10"/>
      <c r="B7" s="11">
        <v>0</v>
      </c>
      <c r="C7" s="12">
        <f>(A7*B7)/365*90</f>
        <v>0</v>
      </c>
      <c r="D7" s="13">
        <v>0</v>
      </c>
      <c r="F7" s="61">
        <v>0</v>
      </c>
    </row>
    <row r="8" spans="1:6" ht="15.75">
      <c r="A8" s="10" t="s">
        <v>16</v>
      </c>
      <c r="B8" s="11"/>
      <c r="C8" s="12"/>
      <c r="D8" s="13"/>
      <c r="F8" s="61"/>
    </row>
    <row r="9" spans="1:6" ht="15.75">
      <c r="A9" s="10"/>
      <c r="B9" s="11">
        <v>0</v>
      </c>
      <c r="C9" s="12">
        <f>(A9*B9)/365*90</f>
        <v>0</v>
      </c>
      <c r="D9" s="13">
        <v>0</v>
      </c>
      <c r="F9" s="61">
        <v>0</v>
      </c>
    </row>
    <row r="10" spans="1:6" ht="15.75">
      <c r="A10" s="10" t="s">
        <v>17</v>
      </c>
      <c r="B10" s="11"/>
      <c r="C10" s="12"/>
      <c r="D10" s="13"/>
      <c r="F10" s="61"/>
    </row>
    <row r="11" spans="1:6" ht="15.75">
      <c r="A11" s="10"/>
      <c r="B11" s="11">
        <v>0</v>
      </c>
      <c r="C11" s="12">
        <f>(A11*B11)/365*90</f>
        <v>0</v>
      </c>
      <c r="D11" s="13">
        <v>0</v>
      </c>
      <c r="F11" s="61">
        <v>0</v>
      </c>
    </row>
    <row r="12" spans="1:6" ht="15.75">
      <c r="A12" s="10" t="s">
        <v>18</v>
      </c>
      <c r="B12" s="11"/>
      <c r="C12" s="12"/>
      <c r="D12" s="13"/>
      <c r="F12" s="61"/>
    </row>
    <row r="13" spans="1:6" ht="16.5" thickBot="1">
      <c r="A13" s="10">
        <v>42385124.960000001</v>
      </c>
      <c r="B13" s="11">
        <v>0</v>
      </c>
      <c r="C13" s="14">
        <f>(A13*B13)/365*90</f>
        <v>0</v>
      </c>
      <c r="D13" s="13">
        <f>C13</f>
        <v>0</v>
      </c>
      <c r="F13" s="61">
        <v>0</v>
      </c>
    </row>
    <row r="14" spans="1:6" ht="15.75">
      <c r="A14" s="15"/>
      <c r="B14" s="16" t="s">
        <v>19</v>
      </c>
      <c r="C14" s="17">
        <f>SUM(C7:C13)</f>
        <v>0</v>
      </c>
      <c r="D14" s="18"/>
      <c r="F14" s="62"/>
    </row>
    <row r="15" spans="1:6" ht="15.75">
      <c r="A15" s="19"/>
      <c r="B15" s="70" t="s">
        <v>20</v>
      </c>
      <c r="C15" s="21">
        <f>0.09%*A13</f>
        <v>38146.612463999998</v>
      </c>
      <c r="D15" s="22"/>
      <c r="F15" s="63"/>
    </row>
    <row r="16" spans="1:6" ht="33.75" thickBot="1">
      <c r="A16" s="23"/>
      <c r="B16" s="24"/>
      <c r="C16" s="25" t="s">
        <v>21</v>
      </c>
      <c r="D16" s="26">
        <f>SUM(D7:D13)+C15</f>
        <v>38146.612463999998</v>
      </c>
      <c r="F16" s="64">
        <f>SUM(F7:F13)</f>
        <v>0</v>
      </c>
    </row>
    <row r="17" spans="1:6" ht="15" thickBot="1">
      <c r="A17" s="27"/>
      <c r="B17" s="27"/>
      <c r="C17" s="27"/>
      <c r="D17" s="27"/>
      <c r="F17" s="67"/>
    </row>
    <row r="18" spans="1:6" ht="39" thickBot="1">
      <c r="A18" s="3" t="s">
        <v>11</v>
      </c>
      <c r="B18" s="4" t="s">
        <v>12</v>
      </c>
      <c r="C18" s="4" t="s">
        <v>13</v>
      </c>
      <c r="D18" s="5" t="s">
        <v>14</v>
      </c>
      <c r="F18" s="59" t="s">
        <v>14</v>
      </c>
    </row>
    <row r="19" spans="1:6" ht="15.75">
      <c r="A19" s="6" t="s">
        <v>79</v>
      </c>
      <c r="B19" s="7"/>
      <c r="C19" s="8"/>
      <c r="D19" s="9"/>
      <c r="F19" s="60"/>
    </row>
    <row r="20" spans="1:6" ht="15.75">
      <c r="A20" s="10">
        <f>A13</f>
        <v>42385124.960000001</v>
      </c>
      <c r="B20" s="268">
        <v>4.4900000000000002E-2</v>
      </c>
      <c r="C20" s="269">
        <v>1017711.29</v>
      </c>
      <c r="D20" s="13">
        <f>C20+A145</f>
        <v>2077344.25</v>
      </c>
      <c r="F20" s="61">
        <f>A145</f>
        <v>1059632.96</v>
      </c>
    </row>
    <row r="21" spans="1:6" ht="15.75">
      <c r="A21" s="10" t="s">
        <v>80</v>
      </c>
      <c r="B21" s="268"/>
      <c r="C21" s="269"/>
      <c r="D21" s="13"/>
      <c r="F21" s="61"/>
    </row>
    <row r="22" spans="1:6" ht="15.75">
      <c r="A22" s="10">
        <f>A20-A145</f>
        <v>41325492</v>
      </c>
      <c r="B22" s="268">
        <v>4.7800000000000002E-2</v>
      </c>
      <c r="C22" s="269">
        <v>492486.64</v>
      </c>
      <c r="D22" s="13">
        <f>C22+A144</f>
        <v>1552114.6400000001</v>
      </c>
      <c r="F22" s="61">
        <f>$A$144</f>
        <v>1059628</v>
      </c>
    </row>
    <row r="23" spans="1:6" ht="15.75">
      <c r="A23" s="10" t="s">
        <v>81</v>
      </c>
      <c r="B23" s="268"/>
      <c r="C23" s="269"/>
      <c r="D23" s="13"/>
      <c r="F23" s="61"/>
    </row>
    <row r="24" spans="1:6" ht="15.75">
      <c r="A24" s="10">
        <f>A22-A144</f>
        <v>40265864</v>
      </c>
      <c r="B24" s="268">
        <v>5.3499999999999999E-2</v>
      </c>
      <c r="C24" s="269">
        <v>542982.42000000004</v>
      </c>
      <c r="D24" s="13">
        <f>C24+A144</f>
        <v>1602610.42</v>
      </c>
      <c r="F24" s="61">
        <f>$A$144</f>
        <v>1059628</v>
      </c>
    </row>
    <row r="25" spans="1:6" ht="15.75">
      <c r="A25" s="10" t="s">
        <v>82</v>
      </c>
      <c r="B25" s="268"/>
      <c r="C25" s="269"/>
      <c r="D25" s="13"/>
      <c r="F25" s="61"/>
    </row>
    <row r="26" spans="1:6" ht="16.5" thickBot="1">
      <c r="A26" s="10">
        <f>A24-A144</f>
        <v>39206236</v>
      </c>
      <c r="B26" s="268">
        <v>5.4300000000000001E-2</v>
      </c>
      <c r="C26" s="270">
        <v>523096.45</v>
      </c>
      <c r="D26" s="13">
        <f>C26+A144</f>
        <v>1582724.45</v>
      </c>
      <c r="F26" s="61">
        <f>$A$144</f>
        <v>1059628</v>
      </c>
    </row>
    <row r="27" spans="1:6" ht="15.75">
      <c r="A27" s="15"/>
      <c r="B27" s="16" t="s">
        <v>19</v>
      </c>
      <c r="C27" s="17">
        <f>SUM(C20:C26)</f>
        <v>2576276.8000000003</v>
      </c>
      <c r="D27" s="18"/>
      <c r="F27" s="62"/>
    </row>
    <row r="28" spans="1:6" ht="33.75" thickBot="1">
      <c r="A28" s="23"/>
      <c r="B28" s="24"/>
      <c r="C28" s="25" t="s">
        <v>78</v>
      </c>
      <c r="D28" s="26">
        <f>SUM(D20:D26)</f>
        <v>6814793.7600000007</v>
      </c>
      <c r="F28" s="64">
        <f>SUM(F20:F26)</f>
        <v>4238516.96</v>
      </c>
    </row>
    <row r="29" spans="1:6" ht="15" thickBot="1">
      <c r="A29" s="27"/>
      <c r="B29" s="28"/>
      <c r="C29" s="29"/>
      <c r="D29" s="27"/>
      <c r="F29" s="65"/>
    </row>
    <row r="30" spans="1:6" ht="39" thickBot="1">
      <c r="A30" s="3" t="s">
        <v>11</v>
      </c>
      <c r="B30" s="4" t="s">
        <v>12</v>
      </c>
      <c r="C30" s="4" t="s">
        <v>13</v>
      </c>
      <c r="D30" s="5" t="s">
        <v>14</v>
      </c>
      <c r="F30" s="59" t="s">
        <v>77</v>
      </c>
    </row>
    <row r="31" spans="1:6" ht="15.75">
      <c r="A31" s="6" t="s">
        <v>22</v>
      </c>
      <c r="B31" s="7"/>
      <c r="C31" s="8"/>
      <c r="D31" s="9"/>
      <c r="F31" s="60"/>
    </row>
    <row r="32" spans="1:6" ht="15.75">
      <c r="A32" s="10">
        <f>A26-A144</f>
        <v>38146608</v>
      </c>
      <c r="B32" s="11">
        <v>5.5E-2</v>
      </c>
      <c r="C32" s="12">
        <f>(A32*B32)/365*91</f>
        <v>523078.83024657529</v>
      </c>
      <c r="D32" s="13">
        <f>C32+A144</f>
        <v>1582706.8302465752</v>
      </c>
      <c r="F32" s="61">
        <f>$A$144</f>
        <v>1059628</v>
      </c>
    </row>
    <row r="33" spans="1:6" ht="15.75">
      <c r="A33" s="10" t="s">
        <v>23</v>
      </c>
      <c r="B33" s="11"/>
      <c r="C33" s="12"/>
      <c r="D33" s="13"/>
      <c r="F33" s="61"/>
    </row>
    <row r="34" spans="1:6" ht="15.75">
      <c r="A34" s="10">
        <f>A32-A144</f>
        <v>37086980</v>
      </c>
      <c r="B34" s="11">
        <v>5.8999999999999997E-2</v>
      </c>
      <c r="C34" s="12">
        <f>(A34*B34)/365*91</f>
        <v>545534.23457534239</v>
      </c>
      <c r="D34" s="13">
        <f>C34+A144</f>
        <v>1605162.2345753424</v>
      </c>
      <c r="F34" s="61">
        <f>$A$144</f>
        <v>1059628</v>
      </c>
    </row>
    <row r="35" spans="1:6" ht="15.75">
      <c r="A35" s="10" t="s">
        <v>24</v>
      </c>
      <c r="B35" s="11"/>
      <c r="C35" s="12"/>
      <c r="D35" s="13"/>
      <c r="F35" s="61"/>
    </row>
    <row r="36" spans="1:6" ht="15.75">
      <c r="A36" s="10">
        <f>A34-A144</f>
        <v>36027352</v>
      </c>
      <c r="B36" s="11">
        <v>5.8999999999999997E-2</v>
      </c>
      <c r="C36" s="12">
        <f>(A36*B36)/365*92</f>
        <v>535771.14152328763</v>
      </c>
      <c r="D36" s="13">
        <f>C36+A144</f>
        <v>1595399.1415232876</v>
      </c>
      <c r="F36" s="61">
        <f>$A$144</f>
        <v>1059628</v>
      </c>
    </row>
    <row r="37" spans="1:6" ht="15.75">
      <c r="A37" s="10" t="s">
        <v>25</v>
      </c>
      <c r="B37" s="11"/>
      <c r="C37" s="12"/>
      <c r="D37" s="13"/>
      <c r="F37" s="61"/>
    </row>
    <row r="38" spans="1:6" ht="16.5" thickBot="1">
      <c r="A38" s="10">
        <f>A36-A144</f>
        <v>34967724</v>
      </c>
      <c r="B38" s="11">
        <v>0.06</v>
      </c>
      <c r="C38" s="14">
        <f>(A38*B38)/365*92</f>
        <v>528826.94926027395</v>
      </c>
      <c r="D38" s="13">
        <f>C38+A144</f>
        <v>1588454.9492602739</v>
      </c>
      <c r="F38" s="61">
        <f>$A$144</f>
        <v>1059628</v>
      </c>
    </row>
    <row r="39" spans="1:6" ht="15.75">
      <c r="A39" s="15"/>
      <c r="B39" s="16" t="s">
        <v>19</v>
      </c>
      <c r="C39" s="17">
        <f>SUM(C32:C38)</f>
        <v>2133211.1556054791</v>
      </c>
      <c r="D39" s="18"/>
      <c r="F39" s="62"/>
    </row>
    <row r="40" spans="1:6" ht="33.75" thickBot="1">
      <c r="A40" s="23"/>
      <c r="B40" s="24"/>
      <c r="C40" s="25" t="s">
        <v>26</v>
      </c>
      <c r="D40" s="26">
        <f>SUM(D32:D38)</f>
        <v>6371723.1556054791</v>
      </c>
      <c r="F40" s="64">
        <f>SUM(F32:F38)</f>
        <v>4238512</v>
      </c>
    </row>
    <row r="41" spans="1:6" ht="15" thickBot="1">
      <c r="A41" s="27"/>
      <c r="B41" s="28"/>
      <c r="C41" s="29"/>
      <c r="D41" s="27"/>
      <c r="F41" s="67"/>
    </row>
    <row r="42" spans="1:6" ht="39" thickBot="1">
      <c r="A42" s="3" t="s">
        <v>11</v>
      </c>
      <c r="B42" s="4" t="s">
        <v>12</v>
      </c>
      <c r="C42" s="4" t="s">
        <v>13</v>
      </c>
      <c r="D42" s="5" t="s">
        <v>14</v>
      </c>
      <c r="F42" s="59" t="s">
        <v>77</v>
      </c>
    </row>
    <row r="43" spans="1:6" ht="15.75">
      <c r="A43" s="6" t="s">
        <v>27</v>
      </c>
      <c r="B43" s="7"/>
      <c r="C43" s="8"/>
      <c r="D43" s="9"/>
      <c r="F43" s="60"/>
    </row>
    <row r="44" spans="1:6" ht="15.75">
      <c r="A44" s="10">
        <f>A38-A144</f>
        <v>33908096</v>
      </c>
      <c r="B44" s="11">
        <v>5.8000000000000003E-2</v>
      </c>
      <c r="C44" s="12">
        <f>(A44*B44)/365*90</f>
        <v>484932.2222465754</v>
      </c>
      <c r="D44" s="13">
        <f>C44+A144</f>
        <v>1544560.2222465754</v>
      </c>
      <c r="F44" s="61">
        <f>$A$144</f>
        <v>1059628</v>
      </c>
    </row>
    <row r="45" spans="1:6" ht="15.75">
      <c r="A45" s="10" t="s">
        <v>28</v>
      </c>
      <c r="B45" s="11"/>
      <c r="C45" s="12"/>
      <c r="D45" s="13"/>
      <c r="F45" s="61"/>
    </row>
    <row r="46" spans="1:6" ht="15.75">
      <c r="A46" s="10">
        <f>A44-A144</f>
        <v>32848468</v>
      </c>
      <c r="B46" s="11">
        <v>5.8000000000000003E-2</v>
      </c>
      <c r="C46" s="12">
        <f>(A46*B46)/365*91</f>
        <v>474997.84686027397</v>
      </c>
      <c r="D46" s="13">
        <f>C46+A144</f>
        <v>1534625.846860274</v>
      </c>
      <c r="F46" s="61">
        <f>$A$144</f>
        <v>1059628</v>
      </c>
    </row>
    <row r="47" spans="1:6" ht="15.75">
      <c r="A47" s="10" t="s">
        <v>29</v>
      </c>
      <c r="B47" s="11"/>
      <c r="C47" s="12"/>
      <c r="D47" s="13"/>
      <c r="F47" s="61"/>
    </row>
    <row r="48" spans="1:6" ht="15.75">
      <c r="A48" s="10">
        <f>A46-A144</f>
        <v>31788840</v>
      </c>
      <c r="B48" s="11">
        <v>5.8000000000000003E-2</v>
      </c>
      <c r="C48" s="12">
        <f>(A48*B48)/365*92</f>
        <v>464726.7129863014</v>
      </c>
      <c r="D48" s="13">
        <f>C48+A144</f>
        <v>1524354.7129863014</v>
      </c>
      <c r="F48" s="61">
        <f>$A$144</f>
        <v>1059628</v>
      </c>
    </row>
    <row r="49" spans="1:6" ht="15.75">
      <c r="A49" s="10" t="s">
        <v>30</v>
      </c>
      <c r="B49" s="11"/>
      <c r="C49" s="12"/>
      <c r="D49" s="13"/>
      <c r="F49" s="61"/>
    </row>
    <row r="50" spans="1:6" ht="16.5" thickBot="1">
      <c r="A50" s="10">
        <f>A48-A144</f>
        <v>30729212</v>
      </c>
      <c r="B50" s="11">
        <v>5.8000000000000003E-2</v>
      </c>
      <c r="C50" s="14">
        <f>(A50*B50)/365*92</f>
        <v>449235.82255342469</v>
      </c>
      <c r="D50" s="13">
        <f>C50+A144</f>
        <v>1508863.8225534246</v>
      </c>
      <c r="F50" s="61">
        <f>$A$144</f>
        <v>1059628</v>
      </c>
    </row>
    <row r="51" spans="1:6" ht="15.75">
      <c r="A51" s="15"/>
      <c r="B51" s="16" t="s">
        <v>19</v>
      </c>
      <c r="C51" s="17">
        <f>SUM(C44:C50)</f>
        <v>1873892.6046465754</v>
      </c>
      <c r="D51" s="18"/>
      <c r="F51" s="62"/>
    </row>
    <row r="52" spans="1:6" ht="33.75" thickBot="1">
      <c r="A52" s="30"/>
      <c r="B52" s="31"/>
      <c r="C52" s="32" t="s">
        <v>31</v>
      </c>
      <c r="D52" s="33">
        <f>SUM(D44:D50)</f>
        <v>6112404.6046465747</v>
      </c>
      <c r="F52" s="66">
        <f>SUM(F44:F50)</f>
        <v>4238512</v>
      </c>
    </row>
    <row r="53" spans="1:6" ht="17.25" thickBot="1">
      <c r="A53" s="34"/>
      <c r="B53" s="35"/>
      <c r="C53" s="36"/>
      <c r="D53" s="37"/>
      <c r="F53" s="37"/>
    </row>
    <row r="54" spans="1:6" ht="39" thickBot="1">
      <c r="A54" s="38" t="s">
        <v>11</v>
      </c>
      <c r="B54" s="39" t="s">
        <v>12</v>
      </c>
      <c r="C54" s="39" t="s">
        <v>13</v>
      </c>
      <c r="D54" s="40" t="s">
        <v>14</v>
      </c>
      <c r="F54" s="59" t="s">
        <v>77</v>
      </c>
    </row>
    <row r="55" spans="1:6" ht="15.75">
      <c r="A55" s="6" t="s">
        <v>32</v>
      </c>
      <c r="B55" s="7"/>
      <c r="C55" s="8"/>
      <c r="D55" s="9"/>
      <c r="F55" s="60"/>
    </row>
    <row r="56" spans="1:6" ht="15.75">
      <c r="A56" s="10">
        <f>A50-A144</f>
        <v>29669584</v>
      </c>
      <c r="B56" s="11">
        <v>0.06</v>
      </c>
      <c r="C56" s="12">
        <f>(A56*B56)/365*90</f>
        <v>438947.27013698628</v>
      </c>
      <c r="D56" s="13">
        <f>C56+A144</f>
        <v>1498575.2701369864</v>
      </c>
      <c r="F56" s="61">
        <f>$A$144</f>
        <v>1059628</v>
      </c>
    </row>
    <row r="57" spans="1:6" ht="15.75">
      <c r="A57" s="10" t="s">
        <v>33</v>
      </c>
      <c r="B57" s="11"/>
      <c r="C57" s="12"/>
      <c r="D57" s="13"/>
      <c r="F57" s="61"/>
    </row>
    <row r="58" spans="1:6" ht="15.75">
      <c r="A58" s="10">
        <f>A56-A144</f>
        <v>28609956</v>
      </c>
      <c r="B58" s="11">
        <v>5.5E-2</v>
      </c>
      <c r="C58" s="12">
        <f>(A58*B58)/365*91</f>
        <v>392309.12268493156</v>
      </c>
      <c r="D58" s="13">
        <f>C58+A144</f>
        <v>1451937.1226849316</v>
      </c>
      <c r="F58" s="61">
        <f>$A$144</f>
        <v>1059628</v>
      </c>
    </row>
    <row r="59" spans="1:6" ht="15.75">
      <c r="A59" s="10" t="s">
        <v>34</v>
      </c>
      <c r="B59" s="11"/>
      <c r="C59" s="12"/>
      <c r="D59" s="13"/>
      <c r="F59" s="61"/>
    </row>
    <row r="60" spans="1:6" ht="15.75">
      <c r="A60" s="10">
        <f>A58-A144</f>
        <v>27550328</v>
      </c>
      <c r="B60" s="11">
        <v>5.5E-2</v>
      </c>
      <c r="C60" s="12">
        <f>(A60*B60)/365*92</f>
        <v>381930.57446575345</v>
      </c>
      <c r="D60" s="13">
        <f>C60+A144</f>
        <v>1441558.5744657535</v>
      </c>
      <c r="F60" s="61">
        <f>$A$144</f>
        <v>1059628</v>
      </c>
    </row>
    <row r="61" spans="1:6" ht="15.75">
      <c r="A61" s="10" t="s">
        <v>35</v>
      </c>
      <c r="B61" s="11"/>
      <c r="C61" s="12"/>
      <c r="D61" s="13"/>
      <c r="F61" s="61"/>
    </row>
    <row r="62" spans="1:6" ht="16.5" thickBot="1">
      <c r="A62" s="10">
        <f>A60-A144</f>
        <v>26490700</v>
      </c>
      <c r="B62" s="11">
        <v>5.5E-2</v>
      </c>
      <c r="C62" s="14">
        <f>(A62*B62)/365*92</f>
        <v>367240.93698630139</v>
      </c>
      <c r="D62" s="13">
        <f>C62+A144</f>
        <v>1426868.9369863013</v>
      </c>
      <c r="F62" s="61">
        <f>$A$144</f>
        <v>1059628</v>
      </c>
    </row>
    <row r="63" spans="1:6" ht="15.75">
      <c r="A63" s="15"/>
      <c r="B63" s="16" t="s">
        <v>19</v>
      </c>
      <c r="C63" s="17">
        <f>SUM(C56:C62)</f>
        <v>1580427.9042739726</v>
      </c>
      <c r="D63" s="18"/>
      <c r="F63" s="62"/>
    </row>
    <row r="64" spans="1:6" ht="33.75" thickBot="1">
      <c r="A64" s="23"/>
      <c r="B64" s="24"/>
      <c r="C64" s="25" t="s">
        <v>36</v>
      </c>
      <c r="D64" s="26">
        <f>SUM(D56:D62)</f>
        <v>5818939.9042739728</v>
      </c>
      <c r="F64" s="64">
        <f>SUM(F56:F62)</f>
        <v>4238512</v>
      </c>
    </row>
    <row r="65" spans="1:6" ht="17.25" thickBot="1">
      <c r="A65" s="41"/>
      <c r="B65" s="42"/>
      <c r="C65" s="43"/>
      <c r="D65" s="44"/>
      <c r="F65" s="68"/>
    </row>
    <row r="66" spans="1:6" ht="39" thickBot="1">
      <c r="A66" s="45" t="s">
        <v>11</v>
      </c>
      <c r="B66" s="46" t="s">
        <v>12</v>
      </c>
      <c r="C66" s="46" t="s">
        <v>13</v>
      </c>
      <c r="D66" s="47" t="s">
        <v>14</v>
      </c>
      <c r="F66" s="59" t="s">
        <v>77</v>
      </c>
    </row>
    <row r="67" spans="1:6" ht="15.75">
      <c r="A67" s="6" t="s">
        <v>37</v>
      </c>
      <c r="B67" s="7"/>
      <c r="C67" s="8"/>
      <c r="D67" s="9"/>
      <c r="F67" s="60"/>
    </row>
    <row r="68" spans="1:6" ht="15.75">
      <c r="A68" s="10">
        <f>A62-A144</f>
        <v>25431072</v>
      </c>
      <c r="B68" s="11">
        <v>0.05</v>
      </c>
      <c r="C68" s="12">
        <f>(A68*B68)/365*90</f>
        <v>313533.76438356168</v>
      </c>
      <c r="D68" s="13">
        <f>C68+A144</f>
        <v>1373161.7643835617</v>
      </c>
      <c r="F68" s="61">
        <f>$A$144</f>
        <v>1059628</v>
      </c>
    </row>
    <row r="69" spans="1:6" ht="15.75">
      <c r="A69" s="10" t="s">
        <v>38</v>
      </c>
      <c r="B69" s="11"/>
      <c r="C69" s="12"/>
      <c r="D69" s="13"/>
      <c r="F69" s="61"/>
    </row>
    <row r="70" spans="1:6" ht="15.75">
      <c r="A70" s="10">
        <f>A68-A144</f>
        <v>24371444</v>
      </c>
      <c r="B70" s="11">
        <v>0.05</v>
      </c>
      <c r="C70" s="12">
        <f>(A70*B70)/365*91</f>
        <v>303808.41150684928</v>
      </c>
      <c r="D70" s="13">
        <f>C70+A144</f>
        <v>1363436.4115068493</v>
      </c>
      <c r="F70" s="61">
        <f>$A$144</f>
        <v>1059628</v>
      </c>
    </row>
    <row r="71" spans="1:6" ht="15.75">
      <c r="A71" s="10" t="s">
        <v>39</v>
      </c>
      <c r="B71" s="11"/>
      <c r="C71" s="12"/>
      <c r="D71" s="13"/>
      <c r="F71" s="61"/>
    </row>
    <row r="72" spans="1:6" ht="15.75">
      <c r="A72" s="10">
        <f>A70-A144</f>
        <v>23311816</v>
      </c>
      <c r="B72" s="11">
        <v>0.05</v>
      </c>
      <c r="C72" s="12">
        <f>(A72*B72)/365*92</f>
        <v>293792.74958904111</v>
      </c>
      <c r="D72" s="13">
        <f>C72+A144</f>
        <v>1353420.7495890411</v>
      </c>
      <c r="F72" s="61">
        <f>$A$144</f>
        <v>1059628</v>
      </c>
    </row>
    <row r="73" spans="1:6" ht="15.75">
      <c r="A73" s="10" t="s">
        <v>40</v>
      </c>
      <c r="B73" s="11"/>
      <c r="C73" s="12"/>
      <c r="D73" s="13"/>
      <c r="F73" s="61"/>
    </row>
    <row r="74" spans="1:6" ht="16.5" thickBot="1">
      <c r="A74" s="10">
        <f>A72-A144</f>
        <v>22252188</v>
      </c>
      <c r="B74" s="11">
        <v>0.05</v>
      </c>
      <c r="C74" s="14">
        <f>(A74*B74)/365*92</f>
        <v>280438.53369863017</v>
      </c>
      <c r="D74" s="13">
        <f>C74+A144</f>
        <v>1340066.5336986301</v>
      </c>
      <c r="F74" s="61">
        <f>$A$144</f>
        <v>1059628</v>
      </c>
    </row>
    <row r="75" spans="1:6" ht="15.75">
      <c r="A75" s="15"/>
      <c r="B75" s="16" t="s">
        <v>19</v>
      </c>
      <c r="C75" s="17">
        <f>SUM(C68:C74)</f>
        <v>1191573.4591780822</v>
      </c>
      <c r="D75" s="18"/>
      <c r="F75" s="62"/>
    </row>
    <row r="76" spans="1:6" ht="33.75" thickBot="1">
      <c r="A76" s="23"/>
      <c r="B76" s="24"/>
      <c r="C76" s="25" t="s">
        <v>41</v>
      </c>
      <c r="D76" s="26">
        <f>SUM(D68:D74)</f>
        <v>5430085.4591780826</v>
      </c>
      <c r="F76" s="64">
        <f>SUM(F68:F74)</f>
        <v>4238512</v>
      </c>
    </row>
    <row r="77" spans="1:6" ht="17.25" thickBot="1">
      <c r="A77" s="41"/>
      <c r="B77" s="42"/>
      <c r="C77" s="43"/>
      <c r="D77" s="44"/>
    </row>
    <row r="78" spans="1:6" ht="39" thickBot="1">
      <c r="A78" s="45" t="s">
        <v>11</v>
      </c>
      <c r="B78" s="46" t="s">
        <v>12</v>
      </c>
      <c r="C78" s="46" t="s">
        <v>13</v>
      </c>
      <c r="D78" s="47" t="s">
        <v>14</v>
      </c>
      <c r="F78" s="59" t="s">
        <v>77</v>
      </c>
    </row>
    <row r="79" spans="1:6" ht="15.75">
      <c r="A79" s="6" t="s">
        <v>42</v>
      </c>
      <c r="B79" s="7"/>
      <c r="C79" s="8"/>
      <c r="D79" s="9"/>
      <c r="F79" s="60"/>
    </row>
    <row r="80" spans="1:6" ht="15.75">
      <c r="A80" s="10">
        <f>A74-A144</f>
        <v>21192560</v>
      </c>
      <c r="B80" s="11">
        <v>0.05</v>
      </c>
      <c r="C80" s="12">
        <f>(A80*B80)/365*91</f>
        <v>264181.22739726026</v>
      </c>
      <c r="D80" s="13">
        <f>C80+A144</f>
        <v>1323809.2273972603</v>
      </c>
      <c r="F80" s="61">
        <f>$A$144</f>
        <v>1059628</v>
      </c>
    </row>
    <row r="81" spans="1:6" ht="15.75">
      <c r="A81" s="10" t="s">
        <v>43</v>
      </c>
      <c r="B81" s="11"/>
      <c r="C81" s="12"/>
      <c r="D81" s="13"/>
      <c r="F81" s="61"/>
    </row>
    <row r="82" spans="1:6" ht="15.75">
      <c r="A82" s="10">
        <f>A80-A144</f>
        <v>20132932</v>
      </c>
      <c r="B82" s="11">
        <v>0.05</v>
      </c>
      <c r="C82" s="12">
        <f>(A82*B82)/365*91</f>
        <v>250972.16602739727</v>
      </c>
      <c r="D82" s="13">
        <f>C82+A144</f>
        <v>1310600.1660273974</v>
      </c>
      <c r="F82" s="61">
        <f>$A$144</f>
        <v>1059628</v>
      </c>
    </row>
    <row r="83" spans="1:6" ht="15.75">
      <c r="A83" s="10" t="s">
        <v>44</v>
      </c>
      <c r="B83" s="11"/>
      <c r="C83" s="12"/>
      <c r="D83" s="13"/>
      <c r="F83" s="61"/>
    </row>
    <row r="84" spans="1:6" ht="15.75">
      <c r="A84" s="10">
        <f>A82-A144</f>
        <v>19073304</v>
      </c>
      <c r="B84" s="11">
        <v>0.05</v>
      </c>
      <c r="C84" s="12">
        <f>(A84*B84)/365*92</f>
        <v>240375.88602739727</v>
      </c>
      <c r="D84" s="13">
        <f>C84+A144</f>
        <v>1300003.8860273974</v>
      </c>
      <c r="F84" s="61">
        <f>$A$144</f>
        <v>1059628</v>
      </c>
    </row>
    <row r="85" spans="1:6" ht="15.75">
      <c r="A85" s="10" t="s">
        <v>45</v>
      </c>
      <c r="B85" s="11"/>
      <c r="C85" s="12"/>
      <c r="D85" s="13"/>
      <c r="F85" s="61"/>
    </row>
    <row r="86" spans="1:6" ht="16.5" thickBot="1">
      <c r="A86" s="10">
        <f>A84-A144</f>
        <v>18013676</v>
      </c>
      <c r="B86" s="11">
        <v>0.05</v>
      </c>
      <c r="C86" s="14">
        <f>(A86*B86)/365*92</f>
        <v>227021.67013698633</v>
      </c>
      <c r="D86" s="13">
        <f>C86+A144</f>
        <v>1286649.6701369863</v>
      </c>
      <c r="F86" s="61">
        <f>$A$144</f>
        <v>1059628</v>
      </c>
    </row>
    <row r="87" spans="1:6" ht="15.75">
      <c r="A87" s="15"/>
      <c r="B87" s="16" t="s">
        <v>19</v>
      </c>
      <c r="C87" s="17">
        <f>SUM(C80:C86)</f>
        <v>982550.94958904106</v>
      </c>
      <c r="D87" s="18"/>
      <c r="F87" s="62"/>
    </row>
    <row r="88" spans="1:6" ht="33.75" thickBot="1">
      <c r="A88" s="23"/>
      <c r="B88" s="24"/>
      <c r="C88" s="25" t="s">
        <v>46</v>
      </c>
      <c r="D88" s="26">
        <f>SUM(D80:D86)</f>
        <v>5221062.9495890411</v>
      </c>
      <c r="F88" s="64">
        <f>SUM(F80:F86)</f>
        <v>4238512</v>
      </c>
    </row>
    <row r="89" spans="1:6" ht="17.25" thickBot="1">
      <c r="A89" s="41"/>
      <c r="B89" s="42"/>
      <c r="C89" s="43"/>
      <c r="D89" s="44"/>
    </row>
    <row r="90" spans="1:6" ht="39" thickBot="1">
      <c r="A90" s="45" t="s">
        <v>11</v>
      </c>
      <c r="B90" s="46" t="s">
        <v>12</v>
      </c>
      <c r="C90" s="46" t="s">
        <v>13</v>
      </c>
      <c r="D90" s="47" t="s">
        <v>14</v>
      </c>
      <c r="F90" s="59" t="s">
        <v>77</v>
      </c>
    </row>
    <row r="91" spans="1:6" ht="15.75">
      <c r="A91" s="6" t="s">
        <v>47</v>
      </c>
      <c r="B91" s="7"/>
      <c r="C91" s="8"/>
      <c r="D91" s="9"/>
      <c r="F91" s="60"/>
    </row>
    <row r="92" spans="1:6" ht="15.75">
      <c r="A92" s="10">
        <f>A86-A144</f>
        <v>16954048</v>
      </c>
      <c r="B92" s="11">
        <v>0.05</v>
      </c>
      <c r="C92" s="12">
        <f>(A92*B92)/365*90</f>
        <v>209022.50958904109</v>
      </c>
      <c r="D92" s="13">
        <f>C92+A144</f>
        <v>1268650.5095890411</v>
      </c>
      <c r="F92" s="61">
        <f>$A$144</f>
        <v>1059628</v>
      </c>
    </row>
    <row r="93" spans="1:6" ht="15.75">
      <c r="A93" s="10" t="s">
        <v>48</v>
      </c>
      <c r="B93" s="11"/>
      <c r="C93" s="12"/>
      <c r="D93" s="13"/>
      <c r="F93" s="61"/>
    </row>
    <row r="94" spans="1:6" ht="15.75">
      <c r="A94" s="10">
        <f>A92-A144</f>
        <v>15894420</v>
      </c>
      <c r="B94" s="11">
        <v>0.05</v>
      </c>
      <c r="C94" s="12">
        <f>(A94*B94)/365*91</f>
        <v>198135.92054794519</v>
      </c>
      <c r="D94" s="13">
        <f>C94+A144</f>
        <v>1257763.9205479452</v>
      </c>
      <c r="F94" s="61">
        <f>$A$144</f>
        <v>1059628</v>
      </c>
    </row>
    <row r="95" spans="1:6" ht="15.75">
      <c r="A95" s="10" t="s">
        <v>49</v>
      </c>
      <c r="B95" s="11"/>
      <c r="C95" s="12"/>
      <c r="D95" s="13"/>
      <c r="F95" s="61"/>
    </row>
    <row r="96" spans="1:6" ht="15.75">
      <c r="A96" s="10">
        <f>A94-A144</f>
        <v>14834792</v>
      </c>
      <c r="B96" s="11">
        <v>0.05</v>
      </c>
      <c r="C96" s="12">
        <f>(A96*B96)/365*92</f>
        <v>186959.02246575346</v>
      </c>
      <c r="D96" s="13">
        <f>C96+A144</f>
        <v>1246587.0224657534</v>
      </c>
      <c r="F96" s="61">
        <f>$A$144</f>
        <v>1059628</v>
      </c>
    </row>
    <row r="97" spans="1:6" ht="15.75">
      <c r="A97" s="10" t="s">
        <v>50</v>
      </c>
      <c r="B97" s="11"/>
      <c r="C97" s="12"/>
      <c r="D97" s="13"/>
      <c r="F97" s="61"/>
    </row>
    <row r="98" spans="1:6" ht="16.5" thickBot="1">
      <c r="A98" s="10">
        <f>A96-A144</f>
        <v>13775164</v>
      </c>
      <c r="B98" s="11">
        <v>0.05</v>
      </c>
      <c r="C98" s="14">
        <f>(A98*B98)/365*92</f>
        <v>173604.80657534249</v>
      </c>
      <c r="D98" s="13">
        <f>C98+A144</f>
        <v>1233232.8065753425</v>
      </c>
      <c r="F98" s="61">
        <f>$A$144</f>
        <v>1059628</v>
      </c>
    </row>
    <row r="99" spans="1:6" ht="15.75">
      <c r="A99" s="15"/>
      <c r="B99" s="16" t="s">
        <v>19</v>
      </c>
      <c r="C99" s="17">
        <f>SUM(C92:C98)</f>
        <v>767722.25917808223</v>
      </c>
      <c r="D99" s="18"/>
      <c r="F99" s="62"/>
    </row>
    <row r="100" spans="1:6" ht="33.75" thickBot="1">
      <c r="A100" s="23"/>
      <c r="B100" s="24"/>
      <c r="C100" s="25" t="s">
        <v>51</v>
      </c>
      <c r="D100" s="26">
        <f>SUM(D92:D98)</f>
        <v>5006234.2591780815</v>
      </c>
      <c r="F100" s="64">
        <f>SUM(F92:F98)</f>
        <v>4238512</v>
      </c>
    </row>
    <row r="101" spans="1:6" ht="17.25" thickBot="1">
      <c r="A101" s="41"/>
      <c r="B101" s="42"/>
      <c r="C101" s="43"/>
      <c r="D101" s="44"/>
    </row>
    <row r="102" spans="1:6" ht="39" thickBot="1">
      <c r="A102" s="45" t="s">
        <v>11</v>
      </c>
      <c r="B102" s="46" t="s">
        <v>12</v>
      </c>
      <c r="C102" s="46" t="s">
        <v>13</v>
      </c>
      <c r="D102" s="47" t="s">
        <v>14</v>
      </c>
      <c r="F102" s="59" t="s">
        <v>77</v>
      </c>
    </row>
    <row r="103" spans="1:6" ht="15.75">
      <c r="A103" s="6" t="s">
        <v>52</v>
      </c>
      <c r="B103" s="7"/>
      <c r="C103" s="8"/>
      <c r="D103" s="9"/>
      <c r="F103" s="60"/>
    </row>
    <row r="104" spans="1:6" ht="15.75">
      <c r="A104" s="10">
        <f>A98-A144</f>
        <v>12715536</v>
      </c>
      <c r="B104" s="11">
        <v>0.05</v>
      </c>
      <c r="C104" s="12">
        <f>(A104*B104)/365*90</f>
        <v>156766.88219178084</v>
      </c>
      <c r="D104" s="13">
        <f>C104+A144</f>
        <v>1216394.882191781</v>
      </c>
      <c r="F104" s="61">
        <f>$A$144</f>
        <v>1059628</v>
      </c>
    </row>
    <row r="105" spans="1:6" ht="15.75">
      <c r="A105" s="10" t="s">
        <v>53</v>
      </c>
      <c r="B105" s="11"/>
      <c r="C105" s="12"/>
      <c r="D105" s="13"/>
      <c r="F105" s="61"/>
    </row>
    <row r="106" spans="1:6" ht="15.75">
      <c r="A106" s="10">
        <f>A104-A144</f>
        <v>11655908</v>
      </c>
      <c r="B106" s="11">
        <v>0.05</v>
      </c>
      <c r="C106" s="12">
        <f>(A106*B106)/365*91</f>
        <v>145299.67506849315</v>
      </c>
      <c r="D106" s="13">
        <f>C106+A144</f>
        <v>1204927.6750684932</v>
      </c>
      <c r="F106" s="61">
        <f>$A$144</f>
        <v>1059628</v>
      </c>
    </row>
    <row r="107" spans="1:6" ht="15.75">
      <c r="A107" s="10" t="s">
        <v>54</v>
      </c>
      <c r="B107" s="11"/>
      <c r="C107" s="12"/>
      <c r="D107" s="13"/>
      <c r="F107" s="61"/>
    </row>
    <row r="108" spans="1:6" ht="15.75">
      <c r="A108" s="10">
        <f>A106-A144</f>
        <v>10596280</v>
      </c>
      <c r="B108" s="11">
        <v>0.05</v>
      </c>
      <c r="C108" s="12">
        <f>(A108*B108)/365*92</f>
        <v>133542.15890410959</v>
      </c>
      <c r="D108" s="13">
        <f>C108+A144</f>
        <v>1193170.1589041096</v>
      </c>
      <c r="F108" s="61">
        <f>$A$144</f>
        <v>1059628</v>
      </c>
    </row>
    <row r="109" spans="1:6" ht="15.75">
      <c r="A109" s="10" t="s">
        <v>55</v>
      </c>
      <c r="B109" s="11"/>
      <c r="C109" s="12"/>
      <c r="D109" s="13"/>
      <c r="F109" s="61"/>
    </row>
    <row r="110" spans="1:6" ht="16.5" thickBot="1">
      <c r="A110" s="10">
        <f>A108-A144</f>
        <v>9536652</v>
      </c>
      <c r="B110" s="11">
        <v>0.05</v>
      </c>
      <c r="C110" s="14">
        <f>(A110*B110)/365*92</f>
        <v>120187.94301369863</v>
      </c>
      <c r="D110" s="13">
        <f>C110+A144</f>
        <v>1179815.9430136986</v>
      </c>
      <c r="F110" s="61">
        <f>$A$144</f>
        <v>1059628</v>
      </c>
    </row>
    <row r="111" spans="1:6" ht="15.75">
      <c r="A111" s="15"/>
      <c r="B111" s="16" t="s">
        <v>19</v>
      </c>
      <c r="C111" s="17">
        <f>SUM(C104:C110)</f>
        <v>555796.65917808225</v>
      </c>
      <c r="D111" s="18"/>
      <c r="F111" s="62"/>
    </row>
    <row r="112" spans="1:6" ht="33.75" thickBot="1">
      <c r="A112" s="23"/>
      <c r="B112" s="24"/>
      <c r="C112" s="25" t="s">
        <v>56</v>
      </c>
      <c r="D112" s="26">
        <f>SUM(D104:D110)</f>
        <v>4794308.6591780819</v>
      </c>
      <c r="F112" s="64">
        <f>SUM(F104:F110)</f>
        <v>4238512</v>
      </c>
    </row>
    <row r="113" spans="1:6" ht="17.25" thickBot="1">
      <c r="A113" s="41"/>
      <c r="B113" s="42"/>
      <c r="C113" s="43"/>
      <c r="D113" s="44"/>
    </row>
    <row r="114" spans="1:6" ht="39" thickBot="1">
      <c r="A114" s="45" t="s">
        <v>11</v>
      </c>
      <c r="B114" s="46" t="s">
        <v>12</v>
      </c>
      <c r="C114" s="46" t="s">
        <v>13</v>
      </c>
      <c r="D114" s="47" t="s">
        <v>14</v>
      </c>
      <c r="F114" s="59" t="s">
        <v>77</v>
      </c>
    </row>
    <row r="115" spans="1:6" ht="15.75">
      <c r="A115" s="6" t="s">
        <v>57</v>
      </c>
      <c r="B115" s="7"/>
      <c r="C115" s="8"/>
      <c r="D115" s="9"/>
      <c r="F115" s="60"/>
    </row>
    <row r="116" spans="1:6" ht="15.75">
      <c r="A116" s="10">
        <f>A110-A144</f>
        <v>8477024</v>
      </c>
      <c r="B116" s="11">
        <v>0.05</v>
      </c>
      <c r="C116" s="12">
        <f>(A116*B116)/365*90</f>
        <v>104511.25479452054</v>
      </c>
      <c r="D116" s="13">
        <f>C116+A144</f>
        <v>1164139.2547945206</v>
      </c>
      <c r="F116" s="61">
        <f>$A$144</f>
        <v>1059628</v>
      </c>
    </row>
    <row r="117" spans="1:6" ht="15.75">
      <c r="A117" s="10" t="s">
        <v>58</v>
      </c>
      <c r="B117" s="11"/>
      <c r="C117" s="12"/>
      <c r="D117" s="13"/>
      <c r="F117" s="61"/>
    </row>
    <row r="118" spans="1:6" ht="15.75">
      <c r="A118" s="10">
        <f>A116-A144</f>
        <v>7417396</v>
      </c>
      <c r="B118" s="11">
        <v>0.05</v>
      </c>
      <c r="C118" s="12">
        <f>(A118*B118)/365*91</f>
        <v>92463.429589041101</v>
      </c>
      <c r="D118" s="13">
        <f>C118+A144</f>
        <v>1152091.429589041</v>
      </c>
      <c r="F118" s="61">
        <f>$A$144</f>
        <v>1059628</v>
      </c>
    </row>
    <row r="119" spans="1:6" ht="15.75">
      <c r="A119" s="10" t="s">
        <v>59</v>
      </c>
      <c r="B119" s="11"/>
      <c r="C119" s="12"/>
      <c r="D119" s="13"/>
      <c r="F119" s="61"/>
    </row>
    <row r="120" spans="1:6" ht="15.75">
      <c r="A120" s="10">
        <f>A118-A144</f>
        <v>6357768</v>
      </c>
      <c r="B120" s="11">
        <v>0.05</v>
      </c>
      <c r="C120" s="12">
        <f>(A120*B120)/365*92</f>
        <v>80125.295342465761</v>
      </c>
      <c r="D120" s="13">
        <f>C120+A144</f>
        <v>1139753.2953424659</v>
      </c>
      <c r="F120" s="61">
        <f>$A$144</f>
        <v>1059628</v>
      </c>
    </row>
    <row r="121" spans="1:6" ht="15.75">
      <c r="A121" s="10" t="s">
        <v>60</v>
      </c>
      <c r="B121" s="11"/>
      <c r="C121" s="12"/>
      <c r="D121" s="13"/>
      <c r="F121" s="61"/>
    </row>
    <row r="122" spans="1:6" ht="16.5" thickBot="1">
      <c r="A122" s="10">
        <f>A120-A144</f>
        <v>5298140</v>
      </c>
      <c r="B122" s="11">
        <v>0.05</v>
      </c>
      <c r="C122" s="14">
        <f>(A122*B122)/365*92</f>
        <v>66771.079452054793</v>
      </c>
      <c r="D122" s="13">
        <f>C122+A144</f>
        <v>1126399.0794520548</v>
      </c>
      <c r="F122" s="61">
        <f>$A$144</f>
        <v>1059628</v>
      </c>
    </row>
    <row r="123" spans="1:6" ht="15.75">
      <c r="A123" s="15"/>
      <c r="B123" s="16" t="s">
        <v>19</v>
      </c>
      <c r="C123" s="17">
        <f>SUM(C116:C122)</f>
        <v>343871.05917808221</v>
      </c>
      <c r="D123" s="18"/>
      <c r="F123" s="62"/>
    </row>
    <row r="124" spans="1:6" ht="33.75" thickBot="1">
      <c r="A124" s="23"/>
      <c r="B124" s="24"/>
      <c r="C124" s="25" t="s">
        <v>61</v>
      </c>
      <c r="D124" s="26">
        <f>SUM(D116:D122)</f>
        <v>4582383.0591780823</v>
      </c>
      <c r="F124" s="64">
        <f>SUM(F116:F122)</f>
        <v>4238512</v>
      </c>
    </row>
    <row r="125" spans="1:6" ht="17.25" thickBot="1">
      <c r="A125" s="41"/>
      <c r="B125" s="42"/>
      <c r="C125" s="43"/>
      <c r="D125" s="44"/>
    </row>
    <row r="126" spans="1:6" ht="39" thickBot="1">
      <c r="A126" s="45" t="s">
        <v>11</v>
      </c>
      <c r="B126" s="46" t="s">
        <v>12</v>
      </c>
      <c r="C126" s="46" t="s">
        <v>13</v>
      </c>
      <c r="D126" s="47" t="s">
        <v>14</v>
      </c>
      <c r="F126" s="59" t="s">
        <v>77</v>
      </c>
    </row>
    <row r="127" spans="1:6" ht="15.75">
      <c r="A127" s="6" t="s">
        <v>62</v>
      </c>
      <c r="B127" s="7"/>
      <c r="C127" s="8"/>
      <c r="D127" s="9"/>
      <c r="F127" s="60"/>
    </row>
    <row r="128" spans="1:6" ht="15.75">
      <c r="A128" s="10">
        <f>A122-A144</f>
        <v>4238512</v>
      </c>
      <c r="B128" s="11">
        <v>0.05</v>
      </c>
      <c r="C128" s="12">
        <f>(A128*B128)/365*91</f>
        <v>52836.245479452053</v>
      </c>
      <c r="D128" s="13">
        <f>C128+A144</f>
        <v>1112464.245479452</v>
      </c>
      <c r="F128" s="61">
        <f>$A$144</f>
        <v>1059628</v>
      </c>
    </row>
    <row r="129" spans="1:6" ht="15.75">
      <c r="A129" s="10" t="s">
        <v>63</v>
      </c>
      <c r="B129" s="11"/>
      <c r="C129" s="12"/>
      <c r="D129" s="13"/>
      <c r="F129" s="61"/>
    </row>
    <row r="130" spans="1:6" ht="15.75">
      <c r="A130" s="10">
        <f>A128-A144</f>
        <v>3178884</v>
      </c>
      <c r="B130" s="11">
        <v>0.05</v>
      </c>
      <c r="C130" s="12">
        <f>(A130*B130)/365*91</f>
        <v>39627.184109589041</v>
      </c>
      <c r="D130" s="13">
        <f>C130+A144</f>
        <v>1099255.1841095891</v>
      </c>
      <c r="F130" s="61">
        <f>$A$144</f>
        <v>1059628</v>
      </c>
    </row>
    <row r="131" spans="1:6" ht="15.75">
      <c r="A131" s="10" t="s">
        <v>64</v>
      </c>
      <c r="B131" s="11"/>
      <c r="C131" s="12"/>
      <c r="D131" s="13"/>
      <c r="F131" s="61"/>
    </row>
    <row r="132" spans="1:6" ht="15.75">
      <c r="A132" s="10">
        <f>A130-A144</f>
        <v>2119256</v>
      </c>
      <c r="B132" s="11">
        <v>0.05</v>
      </c>
      <c r="C132" s="12">
        <f>(A132*B132)/365*92</f>
        <v>26708.431780821917</v>
      </c>
      <c r="D132" s="13">
        <f>C132+A144</f>
        <v>1086336.4317808219</v>
      </c>
      <c r="F132" s="61">
        <f>$A$144</f>
        <v>1059628</v>
      </c>
    </row>
    <row r="133" spans="1:6" ht="15.75">
      <c r="A133" s="10" t="s">
        <v>65</v>
      </c>
      <c r="B133" s="11"/>
      <c r="C133" s="12"/>
      <c r="D133" s="13"/>
      <c r="F133" s="61"/>
    </row>
    <row r="134" spans="1:6" ht="16.5" thickBot="1">
      <c r="A134" s="10">
        <f>A132-A144</f>
        <v>1059628</v>
      </c>
      <c r="B134" s="11">
        <v>0.05</v>
      </c>
      <c r="C134" s="14">
        <f>(A134*B134)/365*92</f>
        <v>13354.215890410958</v>
      </c>
      <c r="D134" s="13">
        <f>C134+A144</f>
        <v>1072982.2158904111</v>
      </c>
      <c r="F134" s="61">
        <f>$A$144</f>
        <v>1059628</v>
      </c>
    </row>
    <row r="135" spans="1:6" ht="15.75">
      <c r="A135" s="15"/>
      <c r="B135" s="16" t="s">
        <v>19</v>
      </c>
      <c r="C135" s="17">
        <f>SUM(C128:C134)</f>
        <v>132526.07726027397</v>
      </c>
      <c r="D135" s="18"/>
      <c r="F135" s="62"/>
    </row>
    <row r="136" spans="1:6" ht="33.75" thickBot="1">
      <c r="A136" s="23"/>
      <c r="B136" s="24"/>
      <c r="C136" s="25" t="s">
        <v>66</v>
      </c>
      <c r="D136" s="26">
        <f>SUM(D128:D134)</f>
        <v>4371038.0772602744</v>
      </c>
      <c r="F136" s="64">
        <f>SUM(F128:F134)</f>
        <v>4238512</v>
      </c>
    </row>
    <row r="137" spans="1:6" ht="16.5">
      <c r="A137" s="41"/>
      <c r="B137" s="42"/>
      <c r="C137" s="43"/>
      <c r="D137" s="44"/>
    </row>
    <row r="138" spans="1:6" ht="18">
      <c r="A138" s="428" t="s">
        <v>67</v>
      </c>
      <c r="B138" s="428"/>
      <c r="C138" s="428"/>
      <c r="D138" s="69">
        <f>SUM(D140:D142)</f>
        <v>54561120.500551678</v>
      </c>
      <c r="F138" s="375">
        <f>SUM(F16,F28,F40,F52,F64,F76,F88,F100,F112,F124,F136)</f>
        <v>42385124.960000001</v>
      </c>
    </row>
    <row r="139" spans="1:6" ht="16.5">
      <c r="A139" s="429" t="s">
        <v>68</v>
      </c>
      <c r="B139" s="429"/>
      <c r="C139" s="429"/>
      <c r="D139" s="49"/>
    </row>
    <row r="140" spans="1:6">
      <c r="A140" s="425" t="s">
        <v>69</v>
      </c>
      <c r="B140" s="425"/>
      <c r="C140" s="425"/>
      <c r="D140" s="50">
        <f>A144*39+A145</f>
        <v>42385124.960000001</v>
      </c>
    </row>
    <row r="141" spans="1:6">
      <c r="A141" s="425" t="s">
        <v>70</v>
      </c>
      <c r="B141" s="425"/>
      <c r="C141" s="425"/>
      <c r="D141" s="50">
        <f>SUM(C14,C27,C39,C51,C63,C75,C87,C99,C111,C123,C135)</f>
        <v>12137848.92808767</v>
      </c>
      <c r="F141" s="53"/>
    </row>
    <row r="142" spans="1:6">
      <c r="A142" s="425" t="s">
        <v>71</v>
      </c>
      <c r="B142" s="425"/>
      <c r="C142" s="425"/>
      <c r="D142" s="50">
        <f>C15</f>
        <v>38146.612463999998</v>
      </c>
    </row>
    <row r="143" spans="1:6">
      <c r="A143" s="51" t="s">
        <v>72</v>
      </c>
      <c r="B143" s="111"/>
    </row>
    <row r="144" spans="1:6" ht="15.75">
      <c r="A144" s="378">
        <f>42385120/40</f>
        <v>1059628</v>
      </c>
      <c r="B144" s="371" t="s">
        <v>173</v>
      </c>
      <c r="C144" s="421" t="s">
        <v>83</v>
      </c>
      <c r="D144" s="421"/>
    </row>
    <row r="145" spans="1:4" ht="15.75">
      <c r="A145" s="379">
        <v>1059632.96</v>
      </c>
      <c r="B145" s="371" t="s">
        <v>145</v>
      </c>
      <c r="D145" s="377">
        <f>SUM(D141:D142)</f>
        <v>12175995.54055167</v>
      </c>
    </row>
  </sheetData>
  <mergeCells count="8">
    <mergeCell ref="A142:C142"/>
    <mergeCell ref="C144:D144"/>
    <mergeCell ref="A2:F2"/>
    <mergeCell ref="A3:D3"/>
    <mergeCell ref="A138:C138"/>
    <mergeCell ref="A139:C139"/>
    <mergeCell ref="A140:C140"/>
    <mergeCell ref="A141:C141"/>
  </mergeCells>
  <pageMargins left="0.34" right="0.35" top="0.34" bottom="0.41" header="0.21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50"/>
  </sheetPr>
  <dimension ref="A2:F145"/>
  <sheetViews>
    <sheetView topLeftCell="A46" zoomScale="85" zoomScaleNormal="85" workbookViewId="0">
      <selection activeCell="D141" sqref="D141"/>
    </sheetView>
  </sheetViews>
  <sheetFormatPr defaultRowHeight="14.25"/>
  <cols>
    <col min="1" max="1" width="19.5" customWidth="1"/>
    <col min="2" max="2" width="17.625" customWidth="1"/>
    <col min="3" max="3" width="15.625" customWidth="1"/>
    <col min="4" max="4" width="14.75" customWidth="1"/>
    <col min="5" max="5" width="2.5" customWidth="1"/>
    <col min="6" max="6" width="19.125" customWidth="1"/>
  </cols>
  <sheetData>
    <row r="2" spans="1:6" ht="67.5" customHeight="1">
      <c r="A2" s="426" t="s">
        <v>154</v>
      </c>
      <c r="B2" s="426"/>
      <c r="C2" s="426"/>
      <c r="D2" s="426"/>
      <c r="E2" s="426"/>
      <c r="F2" s="426"/>
    </row>
    <row r="3" spans="1:6">
      <c r="A3" s="427" t="s">
        <v>85</v>
      </c>
      <c r="B3" s="427"/>
      <c r="C3" s="427"/>
      <c r="D3" s="427"/>
      <c r="F3" s="57" t="s">
        <v>76</v>
      </c>
    </row>
    <row r="4" spans="1:6" ht="15" thickBot="1">
      <c r="D4" s="2" t="s">
        <v>10</v>
      </c>
    </row>
    <row r="5" spans="1:6" ht="39" thickBot="1">
      <c r="A5" s="3" t="s">
        <v>11</v>
      </c>
      <c r="B5" s="4" t="s">
        <v>12</v>
      </c>
      <c r="C5" s="4" t="s">
        <v>13</v>
      </c>
      <c r="D5" s="5" t="s">
        <v>14</v>
      </c>
      <c r="F5" s="59" t="s">
        <v>77</v>
      </c>
    </row>
    <row r="6" spans="1:6" ht="15.75">
      <c r="A6" s="6" t="s">
        <v>15</v>
      </c>
      <c r="B6" s="7"/>
      <c r="C6" s="8"/>
      <c r="D6" s="9"/>
      <c r="F6" s="60"/>
    </row>
    <row r="7" spans="1:6" ht="15.75">
      <c r="A7" s="10"/>
      <c r="B7" s="11">
        <v>0</v>
      </c>
      <c r="C7" s="12">
        <f>(A7*B7)/365*90</f>
        <v>0</v>
      </c>
      <c r="D7" s="13">
        <v>0</v>
      </c>
      <c r="F7" s="61">
        <v>0</v>
      </c>
    </row>
    <row r="8" spans="1:6" ht="15.75">
      <c r="A8" s="10" t="s">
        <v>16</v>
      </c>
      <c r="B8" s="11"/>
      <c r="C8" s="12"/>
      <c r="D8" s="13"/>
      <c r="F8" s="61"/>
    </row>
    <row r="9" spans="1:6" ht="15.75">
      <c r="A9" s="10"/>
      <c r="B9" s="11">
        <v>0</v>
      </c>
      <c r="C9" s="12">
        <f>(A9*B9)/365*90</f>
        <v>0</v>
      </c>
      <c r="D9" s="13">
        <v>0</v>
      </c>
      <c r="F9" s="61">
        <v>0</v>
      </c>
    </row>
    <row r="10" spans="1:6" ht="15.75">
      <c r="A10" s="10" t="s">
        <v>17</v>
      </c>
      <c r="B10" s="11"/>
      <c r="C10" s="12"/>
      <c r="D10" s="13"/>
      <c r="F10" s="61"/>
    </row>
    <row r="11" spans="1:6" ht="15.75">
      <c r="A11" s="10"/>
      <c r="B11" s="11">
        <v>0</v>
      </c>
      <c r="C11" s="12">
        <f>(A11*B11)/365*90</f>
        <v>0</v>
      </c>
      <c r="D11" s="13">
        <v>0</v>
      </c>
      <c r="F11" s="61">
        <v>0</v>
      </c>
    </row>
    <row r="12" spans="1:6" ht="15.75">
      <c r="A12" s="10" t="s">
        <v>18</v>
      </c>
      <c r="B12" s="11"/>
      <c r="C12" s="12"/>
      <c r="D12" s="13"/>
      <c r="F12" s="61"/>
    </row>
    <row r="13" spans="1:6" ht="16.5" thickBot="1">
      <c r="A13" s="10">
        <f>'Zestawienie kredytów'!F11+'Zestawienie kredytów'!F13+'Zestawienie kredytów'!F14+'Zestawienie kredytów'!F15+'Zestawienie kredytów'!F16+'Zestawienie kredytów'!F18</f>
        <v>11322562.66</v>
      </c>
      <c r="B13" s="11">
        <v>0</v>
      </c>
      <c r="C13" s="14">
        <f>(A13*B13)/365*90</f>
        <v>0</v>
      </c>
      <c r="D13" s="13">
        <f>C13</f>
        <v>0</v>
      </c>
      <c r="F13" s="61">
        <v>0</v>
      </c>
    </row>
    <row r="14" spans="1:6" ht="15.75">
      <c r="A14" s="15"/>
      <c r="B14" s="16" t="s">
        <v>19</v>
      </c>
      <c r="C14" s="17">
        <f>SUM(C7:C13)</f>
        <v>0</v>
      </c>
      <c r="D14" s="18"/>
      <c r="F14" s="62"/>
    </row>
    <row r="15" spans="1:6" ht="15.75">
      <c r="A15" s="19"/>
      <c r="B15" s="70" t="s">
        <v>20</v>
      </c>
      <c r="C15" s="21">
        <f>0.09%*A13</f>
        <v>10190.306393999999</v>
      </c>
      <c r="D15" s="22"/>
      <c r="F15" s="63"/>
    </row>
    <row r="16" spans="1:6" ht="33.75" thickBot="1">
      <c r="A16" s="23"/>
      <c r="B16" s="24"/>
      <c r="C16" s="25" t="s">
        <v>21</v>
      </c>
      <c r="D16" s="26">
        <f>SUM(D7:D13)+C15</f>
        <v>10190.306393999999</v>
      </c>
      <c r="F16" s="64">
        <f>SUM(F7:F13)</f>
        <v>0</v>
      </c>
    </row>
    <row r="17" spans="1:6" ht="15" thickBot="1">
      <c r="A17" s="27"/>
      <c r="B17" s="27"/>
      <c r="C17" s="27"/>
      <c r="D17" s="27"/>
      <c r="F17" s="67"/>
    </row>
    <row r="18" spans="1:6" ht="39" thickBot="1">
      <c r="A18" s="3" t="s">
        <v>11</v>
      </c>
      <c r="B18" s="4" t="s">
        <v>12</v>
      </c>
      <c r="C18" s="4" t="s">
        <v>13</v>
      </c>
      <c r="D18" s="5" t="s">
        <v>14</v>
      </c>
      <c r="F18" s="59" t="s">
        <v>14</v>
      </c>
    </row>
    <row r="19" spans="1:6" ht="15.75">
      <c r="A19" s="6" t="s">
        <v>79</v>
      </c>
      <c r="B19" s="7"/>
      <c r="C19" s="8"/>
      <c r="D19" s="9"/>
      <c r="F19" s="60"/>
    </row>
    <row r="20" spans="1:6" ht="15.75">
      <c r="A20" s="10">
        <f>A13</f>
        <v>11322562.66</v>
      </c>
      <c r="B20" s="268">
        <v>4.2599999999999999E-2</v>
      </c>
      <c r="C20" s="269">
        <v>158381.22</v>
      </c>
      <c r="D20" s="13">
        <f>C20+A144</f>
        <v>441445.22</v>
      </c>
      <c r="F20" s="61">
        <f>$A$144</f>
        <v>283064</v>
      </c>
    </row>
    <row r="21" spans="1:6" ht="15.75">
      <c r="A21" s="10" t="s">
        <v>80</v>
      </c>
      <c r="B21" s="268"/>
      <c r="C21" s="269"/>
      <c r="D21" s="13"/>
      <c r="F21" s="61"/>
    </row>
    <row r="22" spans="1:6" ht="15.75">
      <c r="A22" s="10">
        <f>A20-F20</f>
        <v>11039498.66</v>
      </c>
      <c r="B22" s="268">
        <v>4.5699999999999998E-2</v>
      </c>
      <c r="C22" s="269">
        <v>125745.28</v>
      </c>
      <c r="D22" s="13">
        <f>C22+A144</f>
        <v>408809.28</v>
      </c>
      <c r="F22" s="61">
        <f>$A$144</f>
        <v>283064</v>
      </c>
    </row>
    <row r="23" spans="1:6" ht="15.75">
      <c r="A23" s="10" t="s">
        <v>81</v>
      </c>
      <c r="B23" s="268"/>
      <c r="C23" s="269"/>
      <c r="D23" s="13"/>
      <c r="F23" s="61"/>
    </row>
    <row r="24" spans="1:6" ht="15.75">
      <c r="A24" s="10">
        <f>A22-A144</f>
        <v>10756434.66</v>
      </c>
      <c r="B24" s="268">
        <v>5.1200000000000002E-2</v>
      </c>
      <c r="C24" s="269">
        <v>138774.29</v>
      </c>
      <c r="D24" s="13">
        <f>C24+A144</f>
        <v>421838.29000000004</v>
      </c>
      <c r="F24" s="61">
        <f>$A$144</f>
        <v>283064</v>
      </c>
    </row>
    <row r="25" spans="1:6" ht="15.75">
      <c r="A25" s="10" t="s">
        <v>82</v>
      </c>
      <c r="B25" s="268"/>
      <c r="C25" s="269"/>
      <c r="D25" s="13"/>
      <c r="F25" s="61"/>
    </row>
    <row r="26" spans="1:6" ht="16.5" thickBot="1">
      <c r="A26" s="10">
        <f>A24-A144</f>
        <v>10473370.66</v>
      </c>
      <c r="B26" s="268">
        <v>5.1900000000000002E-2</v>
      </c>
      <c r="C26" s="270">
        <v>133305.96</v>
      </c>
      <c r="D26" s="13">
        <f>C26+A144</f>
        <v>416369.95999999996</v>
      </c>
      <c r="F26" s="61">
        <f>$A$144</f>
        <v>283064</v>
      </c>
    </row>
    <row r="27" spans="1:6" ht="15.75">
      <c r="A27" s="15"/>
      <c r="B27" s="16" t="s">
        <v>19</v>
      </c>
      <c r="C27" s="17">
        <f>SUM(C20:C26)</f>
        <v>556206.75</v>
      </c>
      <c r="D27" s="18"/>
      <c r="F27" s="62"/>
    </row>
    <row r="28" spans="1:6" ht="33.75" thickBot="1">
      <c r="A28" s="23"/>
      <c r="B28" s="24"/>
      <c r="C28" s="25" t="s">
        <v>78</v>
      </c>
      <c r="D28" s="26">
        <f>SUM(D20:D26)</f>
        <v>1688462.75</v>
      </c>
      <c r="F28" s="64">
        <f>SUM(F20:F26)</f>
        <v>1132256</v>
      </c>
    </row>
    <row r="29" spans="1:6" ht="15" thickBot="1">
      <c r="A29" s="27"/>
      <c r="B29" s="28"/>
      <c r="C29" s="29"/>
      <c r="D29" s="27"/>
      <c r="F29" s="65"/>
    </row>
    <row r="30" spans="1:6" ht="39" thickBot="1">
      <c r="A30" s="3" t="s">
        <v>11</v>
      </c>
      <c r="B30" s="4" t="s">
        <v>12</v>
      </c>
      <c r="C30" s="4" t="s">
        <v>13</v>
      </c>
      <c r="D30" s="5" t="s">
        <v>14</v>
      </c>
      <c r="F30" s="59" t="s">
        <v>77</v>
      </c>
    </row>
    <row r="31" spans="1:6" ht="15.75">
      <c r="A31" s="6" t="s">
        <v>22</v>
      </c>
      <c r="B31" s="7"/>
      <c r="C31" s="8"/>
      <c r="D31" s="9"/>
      <c r="F31" s="60"/>
    </row>
    <row r="32" spans="1:6" ht="15.75">
      <c r="A32" s="10">
        <f>A26-A144</f>
        <v>10190306.66</v>
      </c>
      <c r="B32" s="11">
        <v>5.8999999999999997E-2</v>
      </c>
      <c r="C32" s="12">
        <f>(A32*B32)/365*91</f>
        <v>149895.22317134246</v>
      </c>
      <c r="D32" s="13">
        <f>C32+A144</f>
        <v>432959.22317134246</v>
      </c>
      <c r="F32" s="61">
        <f>$A$144</f>
        <v>283064</v>
      </c>
    </row>
    <row r="33" spans="1:6" ht="15.75">
      <c r="A33" s="10" t="s">
        <v>23</v>
      </c>
      <c r="B33" s="11"/>
      <c r="C33" s="12"/>
      <c r="D33" s="13"/>
      <c r="F33" s="61"/>
    </row>
    <row r="34" spans="1:6" ht="15.75">
      <c r="A34" s="10">
        <f>A32-A144</f>
        <v>9907242.6600000001</v>
      </c>
      <c r="B34" s="11">
        <v>5.8999999999999997E-2</v>
      </c>
      <c r="C34" s="12">
        <f>(A34*B34)/365*91</f>
        <v>145731.46805901368</v>
      </c>
      <c r="D34" s="13">
        <f>C34+A144</f>
        <v>428795.46805901371</v>
      </c>
      <c r="F34" s="61">
        <f>$A$144</f>
        <v>283064</v>
      </c>
    </row>
    <row r="35" spans="1:6" ht="15.75">
      <c r="A35" s="10" t="s">
        <v>24</v>
      </c>
      <c r="B35" s="11"/>
      <c r="C35" s="12"/>
      <c r="D35" s="13"/>
      <c r="F35" s="61"/>
    </row>
    <row r="36" spans="1:6" ht="15.75">
      <c r="A36" s="10">
        <f>A34-A144</f>
        <v>9624178.6600000001</v>
      </c>
      <c r="B36" s="11">
        <v>5.8999999999999997E-2</v>
      </c>
      <c r="C36" s="12">
        <f>(A36*B36)/365*92</f>
        <v>143123.4020999452</v>
      </c>
      <c r="D36" s="13">
        <f>C36+A144</f>
        <v>426187.40209994523</v>
      </c>
      <c r="F36" s="61">
        <f>$A$144</f>
        <v>283064</v>
      </c>
    </row>
    <row r="37" spans="1:6" ht="15.75">
      <c r="A37" s="10" t="s">
        <v>25</v>
      </c>
      <c r="B37" s="11"/>
      <c r="C37" s="12"/>
      <c r="D37" s="13"/>
      <c r="F37" s="61"/>
    </row>
    <row r="38" spans="1:6" ht="16.5" thickBot="1">
      <c r="A38" s="10">
        <f>A36-A144</f>
        <v>9341114.6600000001</v>
      </c>
      <c r="B38" s="11">
        <v>0.06</v>
      </c>
      <c r="C38" s="14">
        <f>(A38*B38)/365*92</f>
        <v>141268.36417315068</v>
      </c>
      <c r="D38" s="13">
        <f>C38+A144</f>
        <v>424332.36417315068</v>
      </c>
      <c r="F38" s="61">
        <f>$A$144</f>
        <v>283064</v>
      </c>
    </row>
    <row r="39" spans="1:6" ht="15.75">
      <c r="A39" s="15"/>
      <c r="B39" s="16" t="s">
        <v>19</v>
      </c>
      <c r="C39" s="17">
        <f>SUM(C32:C38)</f>
        <v>580018.45750345197</v>
      </c>
      <c r="D39" s="18"/>
      <c r="F39" s="62"/>
    </row>
    <row r="40" spans="1:6" ht="33.75" thickBot="1">
      <c r="A40" s="23"/>
      <c r="B40" s="24"/>
      <c r="C40" s="25" t="s">
        <v>26</v>
      </c>
      <c r="D40" s="26">
        <f>SUM(D32:D38)</f>
        <v>1712274.457503452</v>
      </c>
      <c r="F40" s="64">
        <f>SUM(F32:F38)</f>
        <v>1132256</v>
      </c>
    </row>
    <row r="41" spans="1:6" ht="15" thickBot="1">
      <c r="A41" s="27"/>
      <c r="B41" s="28"/>
      <c r="C41" s="29"/>
      <c r="D41" s="27"/>
      <c r="F41" s="67"/>
    </row>
    <row r="42" spans="1:6" ht="39" thickBot="1">
      <c r="A42" s="3" t="s">
        <v>11</v>
      </c>
      <c r="B42" s="4" t="s">
        <v>12</v>
      </c>
      <c r="C42" s="4" t="s">
        <v>13</v>
      </c>
      <c r="D42" s="5" t="s">
        <v>14</v>
      </c>
      <c r="F42" s="59" t="s">
        <v>77</v>
      </c>
    </row>
    <row r="43" spans="1:6" ht="15.75">
      <c r="A43" s="6" t="s">
        <v>27</v>
      </c>
      <c r="B43" s="7"/>
      <c r="C43" s="8"/>
      <c r="D43" s="9"/>
      <c r="F43" s="60"/>
    </row>
    <row r="44" spans="1:6" ht="15.75">
      <c r="A44" s="10">
        <f>A38-A144</f>
        <v>9058050.6600000001</v>
      </c>
      <c r="B44" s="11">
        <v>5.5E-2</v>
      </c>
      <c r="C44" s="12">
        <f>(A44*B44)/365*90</f>
        <v>122842.05689589042</v>
      </c>
      <c r="D44" s="13">
        <f>C44+A144</f>
        <v>405906.05689589039</v>
      </c>
      <c r="F44" s="61">
        <f>$A$144</f>
        <v>283064</v>
      </c>
    </row>
    <row r="45" spans="1:6" ht="15.75">
      <c r="A45" s="10" t="s">
        <v>28</v>
      </c>
      <c r="B45" s="11"/>
      <c r="C45" s="12"/>
      <c r="D45" s="13"/>
      <c r="F45" s="61"/>
    </row>
    <row r="46" spans="1:6" ht="15.75">
      <c r="A46" s="10">
        <f>A44-A144</f>
        <v>8774986.6600000001</v>
      </c>
      <c r="B46" s="11">
        <v>5.5E-2</v>
      </c>
      <c r="C46" s="12">
        <f>(A46*B46)/365*91</f>
        <v>120325.5020090411</v>
      </c>
      <c r="D46" s="13">
        <f>C46+A144</f>
        <v>403389.50200904108</v>
      </c>
      <c r="F46" s="61">
        <f>$A$144</f>
        <v>283064</v>
      </c>
    </row>
    <row r="47" spans="1:6" ht="15.75">
      <c r="A47" s="10" t="s">
        <v>29</v>
      </c>
      <c r="B47" s="11"/>
      <c r="C47" s="12"/>
      <c r="D47" s="13"/>
      <c r="F47" s="61"/>
    </row>
    <row r="48" spans="1:6" ht="15.75">
      <c r="A48" s="10">
        <f>A46-A144</f>
        <v>8491922.6600000001</v>
      </c>
      <c r="B48" s="11">
        <v>5.5E-2</v>
      </c>
      <c r="C48" s="12">
        <f>(A48*B48)/365*92</f>
        <v>117723.64016328767</v>
      </c>
      <c r="D48" s="13">
        <f>C48+A144</f>
        <v>400787.64016328764</v>
      </c>
      <c r="F48" s="61">
        <f>$A$144</f>
        <v>283064</v>
      </c>
    </row>
    <row r="49" spans="1:6" ht="15.75">
      <c r="A49" s="10" t="s">
        <v>30</v>
      </c>
      <c r="B49" s="11"/>
      <c r="C49" s="12"/>
      <c r="D49" s="13"/>
      <c r="F49" s="61"/>
    </row>
    <row r="50" spans="1:6" ht="16.5" thickBot="1">
      <c r="A50" s="10">
        <f>A48-A144</f>
        <v>8208858.6600000001</v>
      </c>
      <c r="B50" s="11">
        <v>5.5E-2</v>
      </c>
      <c r="C50" s="14">
        <f>(A50*B50)/365*92</f>
        <v>113799.52005369864</v>
      </c>
      <c r="D50" s="13">
        <f>C50+A144</f>
        <v>396863.52005369862</v>
      </c>
      <c r="F50" s="61">
        <f>$A$144</f>
        <v>283064</v>
      </c>
    </row>
    <row r="51" spans="1:6" ht="15.75">
      <c r="A51" s="15"/>
      <c r="B51" s="16" t="s">
        <v>19</v>
      </c>
      <c r="C51" s="17">
        <f>SUM(C44:C50)</f>
        <v>474690.71912191779</v>
      </c>
      <c r="D51" s="18"/>
      <c r="F51" s="62"/>
    </row>
    <row r="52" spans="1:6" ht="33.75" thickBot="1">
      <c r="A52" s="30"/>
      <c r="B52" s="31"/>
      <c r="C52" s="32" t="s">
        <v>31</v>
      </c>
      <c r="D52" s="33">
        <f>SUM(D44:D50)</f>
        <v>1606946.7191219176</v>
      </c>
      <c r="F52" s="66">
        <f>SUM(F44:F50)</f>
        <v>1132256</v>
      </c>
    </row>
    <row r="53" spans="1:6" ht="17.25" thickBot="1">
      <c r="A53" s="34"/>
      <c r="B53" s="35"/>
      <c r="C53" s="36"/>
      <c r="D53" s="37"/>
      <c r="F53" s="37"/>
    </row>
    <row r="54" spans="1:6" ht="39" thickBot="1">
      <c r="A54" s="38" t="s">
        <v>11</v>
      </c>
      <c r="B54" s="39" t="s">
        <v>12</v>
      </c>
      <c r="C54" s="39" t="s">
        <v>13</v>
      </c>
      <c r="D54" s="40" t="s">
        <v>14</v>
      </c>
      <c r="F54" s="59" t="s">
        <v>77</v>
      </c>
    </row>
    <row r="55" spans="1:6" ht="15.75">
      <c r="A55" s="6" t="s">
        <v>32</v>
      </c>
      <c r="B55" s="7"/>
      <c r="C55" s="8"/>
      <c r="D55" s="9"/>
      <c r="F55" s="60"/>
    </row>
    <row r="56" spans="1:6" ht="15.75">
      <c r="A56" s="10">
        <f>A50-A144</f>
        <v>7925794.6600000001</v>
      </c>
      <c r="B56" s="11">
        <v>5.5E-2</v>
      </c>
      <c r="C56" s="12">
        <f>(A56*B56)/365*90</f>
        <v>107486.80429315068</v>
      </c>
      <c r="D56" s="13">
        <f>C56+A144</f>
        <v>390550.80429315066</v>
      </c>
      <c r="F56" s="61">
        <f>$A$144</f>
        <v>283064</v>
      </c>
    </row>
    <row r="57" spans="1:6" ht="15.75">
      <c r="A57" s="10" t="s">
        <v>33</v>
      </c>
      <c r="B57" s="11"/>
      <c r="C57" s="12"/>
      <c r="D57" s="13"/>
      <c r="F57" s="61"/>
    </row>
    <row r="58" spans="1:6" ht="15.75">
      <c r="A58" s="10">
        <f>A56-A144</f>
        <v>7642730.6600000001</v>
      </c>
      <c r="B58" s="11">
        <v>5.5E-2</v>
      </c>
      <c r="C58" s="12">
        <f>(A58*B58)/365*91</f>
        <v>104799.63548849315</v>
      </c>
      <c r="D58" s="13">
        <f>C58+A144</f>
        <v>387863.63548849314</v>
      </c>
      <c r="F58" s="61">
        <f>$A$144</f>
        <v>283064</v>
      </c>
    </row>
    <row r="59" spans="1:6" ht="15.75">
      <c r="A59" s="10" t="s">
        <v>34</v>
      </c>
      <c r="B59" s="11"/>
      <c r="C59" s="12"/>
      <c r="D59" s="13"/>
      <c r="F59" s="61"/>
    </row>
    <row r="60" spans="1:6" ht="15.75">
      <c r="A60" s="10">
        <f>A58-A144</f>
        <v>7359666.6600000001</v>
      </c>
      <c r="B60" s="11">
        <v>5.5E-2</v>
      </c>
      <c r="C60" s="12">
        <f>(A60*B60)/365*92</f>
        <v>102027.15972493149</v>
      </c>
      <c r="D60" s="13">
        <f>C60+A144</f>
        <v>385091.15972493147</v>
      </c>
      <c r="F60" s="61">
        <f>$A$144</f>
        <v>283064</v>
      </c>
    </row>
    <row r="61" spans="1:6" ht="15.75">
      <c r="A61" s="10" t="s">
        <v>35</v>
      </c>
      <c r="B61" s="11"/>
      <c r="C61" s="12"/>
      <c r="D61" s="13"/>
      <c r="F61" s="61"/>
    </row>
    <row r="62" spans="1:6" ht="16.5" thickBot="1">
      <c r="A62" s="10">
        <f>A60-A144</f>
        <v>7076602.6600000001</v>
      </c>
      <c r="B62" s="11">
        <v>0.06</v>
      </c>
      <c r="C62" s="14">
        <f>(A62*B62)/365*92</f>
        <v>107021.49776219178</v>
      </c>
      <c r="D62" s="13">
        <f>C62+A144</f>
        <v>390085.49776219181</v>
      </c>
      <c r="F62" s="61">
        <f>$A$144</f>
        <v>283064</v>
      </c>
    </row>
    <row r="63" spans="1:6" ht="15.75">
      <c r="A63" s="15"/>
      <c r="B63" s="16" t="s">
        <v>19</v>
      </c>
      <c r="C63" s="17">
        <f>SUM(C56:C62)</f>
        <v>421335.09726876707</v>
      </c>
      <c r="D63" s="18"/>
      <c r="F63" s="62"/>
    </row>
    <row r="64" spans="1:6" ht="33.75" thickBot="1">
      <c r="A64" s="23"/>
      <c r="B64" s="24"/>
      <c r="C64" s="25" t="s">
        <v>36</v>
      </c>
      <c r="D64" s="26">
        <f>SUM(D56:D62)</f>
        <v>1553591.097268767</v>
      </c>
      <c r="F64" s="64">
        <f>SUM(F56:F62)</f>
        <v>1132256</v>
      </c>
    </row>
    <row r="65" spans="1:6" ht="17.25" thickBot="1">
      <c r="A65" s="41"/>
      <c r="B65" s="42"/>
      <c r="C65" s="43"/>
      <c r="D65" s="44"/>
      <c r="F65" s="68"/>
    </row>
    <row r="66" spans="1:6" ht="39" thickBot="1">
      <c r="A66" s="45" t="s">
        <v>11</v>
      </c>
      <c r="B66" s="46" t="s">
        <v>12</v>
      </c>
      <c r="C66" s="46" t="s">
        <v>13</v>
      </c>
      <c r="D66" s="47" t="s">
        <v>14</v>
      </c>
      <c r="F66" s="59" t="s">
        <v>77</v>
      </c>
    </row>
    <row r="67" spans="1:6" ht="15.75">
      <c r="A67" s="6" t="s">
        <v>37</v>
      </c>
      <c r="B67" s="7"/>
      <c r="C67" s="8"/>
      <c r="D67" s="9"/>
      <c r="F67" s="60"/>
    </row>
    <row r="68" spans="1:6" ht="15.75">
      <c r="A68" s="10">
        <f>A62-A144</f>
        <v>6793538.6600000001</v>
      </c>
      <c r="B68" s="11">
        <v>0.05</v>
      </c>
      <c r="C68" s="12">
        <f>(A68*B68)/365*90</f>
        <v>83755.956082191784</v>
      </c>
      <c r="D68" s="13">
        <f>C68+A144</f>
        <v>366819.95608219178</v>
      </c>
      <c r="F68" s="61">
        <f>$A$144</f>
        <v>283064</v>
      </c>
    </row>
    <row r="69" spans="1:6" ht="15.75">
      <c r="A69" s="10" t="s">
        <v>38</v>
      </c>
      <c r="B69" s="11"/>
      <c r="C69" s="12"/>
      <c r="D69" s="13"/>
      <c r="F69" s="61"/>
    </row>
    <row r="70" spans="1:6" ht="15.75">
      <c r="A70" s="10">
        <f>A68-A144</f>
        <v>6510474.6600000001</v>
      </c>
      <c r="B70" s="11">
        <v>0.05</v>
      </c>
      <c r="C70" s="12">
        <f>(A70*B70)/365*91</f>
        <v>81157.971789041098</v>
      </c>
      <c r="D70" s="13">
        <f>C70+A144</f>
        <v>364221.97178904107</v>
      </c>
      <c r="F70" s="61">
        <f>$A$144</f>
        <v>283064</v>
      </c>
    </row>
    <row r="71" spans="1:6" ht="15.75">
      <c r="A71" s="10" t="s">
        <v>39</v>
      </c>
      <c r="B71" s="11"/>
      <c r="C71" s="12"/>
      <c r="D71" s="13"/>
      <c r="F71" s="61"/>
    </row>
    <row r="72" spans="1:6" ht="15.75">
      <c r="A72" s="10">
        <f>A70-A144</f>
        <v>6227410.6600000001</v>
      </c>
      <c r="B72" s="11">
        <v>0.05</v>
      </c>
      <c r="C72" s="12">
        <f>(A72*B72)/365*92</f>
        <v>78482.435715068495</v>
      </c>
      <c r="D72" s="13">
        <f>C72+A144</f>
        <v>361546.43571506848</v>
      </c>
      <c r="F72" s="61">
        <f>$A$144</f>
        <v>283064</v>
      </c>
    </row>
    <row r="73" spans="1:6" ht="15.75">
      <c r="A73" s="10" t="s">
        <v>40</v>
      </c>
      <c r="B73" s="11"/>
      <c r="C73" s="12"/>
      <c r="D73" s="13"/>
      <c r="F73" s="61"/>
    </row>
    <row r="74" spans="1:6" ht="16.5" thickBot="1">
      <c r="A74" s="10">
        <f>A72-A144</f>
        <v>5944346.6600000001</v>
      </c>
      <c r="B74" s="11">
        <v>0.05</v>
      </c>
      <c r="C74" s="14">
        <f>(A74*B74)/365*92</f>
        <v>74915.053797260291</v>
      </c>
      <c r="D74" s="13">
        <f>C74+A144</f>
        <v>357979.05379726028</v>
      </c>
      <c r="F74" s="61">
        <f>$A$144</f>
        <v>283064</v>
      </c>
    </row>
    <row r="75" spans="1:6" ht="15.75">
      <c r="A75" s="15"/>
      <c r="B75" s="16" t="s">
        <v>19</v>
      </c>
      <c r="C75" s="17">
        <f>SUM(C68:C74)</f>
        <v>318311.41738356167</v>
      </c>
      <c r="D75" s="18"/>
      <c r="F75" s="62"/>
    </row>
    <row r="76" spans="1:6" ht="33.75" thickBot="1">
      <c r="A76" s="23"/>
      <c r="B76" s="24"/>
      <c r="C76" s="25" t="s">
        <v>41</v>
      </c>
      <c r="D76" s="26">
        <f>SUM(D68:D74)</f>
        <v>1450567.4173835618</v>
      </c>
      <c r="F76" s="64">
        <f>SUM(F68:F74)</f>
        <v>1132256</v>
      </c>
    </row>
    <row r="77" spans="1:6" ht="17.25" thickBot="1">
      <c r="A77" s="41"/>
      <c r="B77" s="42"/>
      <c r="C77" s="43"/>
      <c r="D77" s="44"/>
    </row>
    <row r="78" spans="1:6" ht="39" thickBot="1">
      <c r="A78" s="45" t="s">
        <v>11</v>
      </c>
      <c r="B78" s="46" t="s">
        <v>12</v>
      </c>
      <c r="C78" s="46" t="s">
        <v>13</v>
      </c>
      <c r="D78" s="47" t="s">
        <v>14</v>
      </c>
      <c r="F78" s="59" t="s">
        <v>77</v>
      </c>
    </row>
    <row r="79" spans="1:6" ht="15.75">
      <c r="A79" s="6" t="s">
        <v>42</v>
      </c>
      <c r="B79" s="7"/>
      <c r="C79" s="8"/>
      <c r="D79" s="9"/>
      <c r="F79" s="60"/>
    </row>
    <row r="80" spans="1:6" ht="15.75">
      <c r="A80" s="10">
        <f>A74-A144</f>
        <v>5661282.6600000001</v>
      </c>
      <c r="B80" s="11">
        <v>0.05</v>
      </c>
      <c r="C80" s="12">
        <f>(A80*B80)/365*91</f>
        <v>70572.15370684932</v>
      </c>
      <c r="D80" s="13">
        <f>C80+A144</f>
        <v>353636.15370684932</v>
      </c>
      <c r="F80" s="61">
        <f>$A$144</f>
        <v>283064</v>
      </c>
    </row>
    <row r="81" spans="1:6" ht="15.75">
      <c r="A81" s="10" t="s">
        <v>43</v>
      </c>
      <c r="B81" s="11"/>
      <c r="C81" s="12"/>
      <c r="D81" s="13"/>
      <c r="F81" s="61"/>
    </row>
    <row r="82" spans="1:6" ht="15.75">
      <c r="A82" s="10">
        <f>A80-A144</f>
        <v>5378218.6600000001</v>
      </c>
      <c r="B82" s="11">
        <v>0.05</v>
      </c>
      <c r="C82" s="12">
        <f>(A82*B82)/365*91</f>
        <v>67043.547679452065</v>
      </c>
      <c r="D82" s="13">
        <f>C82+A144</f>
        <v>350107.54767945205</v>
      </c>
      <c r="F82" s="61">
        <f>$A$144</f>
        <v>283064</v>
      </c>
    </row>
    <row r="83" spans="1:6" ht="15.75">
      <c r="A83" s="10" t="s">
        <v>44</v>
      </c>
      <c r="B83" s="11"/>
      <c r="C83" s="12"/>
      <c r="D83" s="13"/>
      <c r="F83" s="61"/>
    </row>
    <row r="84" spans="1:6" ht="15.75">
      <c r="A84" s="10">
        <f>A82-A144</f>
        <v>5095154.66</v>
      </c>
      <c r="B84" s="11">
        <v>0.05</v>
      </c>
      <c r="C84" s="12">
        <f>(A84*B84)/365*92</f>
        <v>64212.908043835618</v>
      </c>
      <c r="D84" s="13">
        <f>C84+A144</f>
        <v>347276.9080438356</v>
      </c>
      <c r="F84" s="61">
        <f>$A$144</f>
        <v>283064</v>
      </c>
    </row>
    <row r="85" spans="1:6" ht="15.75">
      <c r="A85" s="10" t="s">
        <v>45</v>
      </c>
      <c r="B85" s="11"/>
      <c r="C85" s="12"/>
      <c r="D85" s="13"/>
      <c r="F85" s="61"/>
    </row>
    <row r="86" spans="1:6" ht="16.5" thickBot="1">
      <c r="A86" s="10">
        <f>A84-A144</f>
        <v>4812090.66</v>
      </c>
      <c r="B86" s="11">
        <v>0.05</v>
      </c>
      <c r="C86" s="14">
        <f>(A86*B86)/365*92</f>
        <v>60645.526126027406</v>
      </c>
      <c r="D86" s="13">
        <f>C86+A144</f>
        <v>343709.5261260274</v>
      </c>
      <c r="F86" s="61">
        <f>$A$144</f>
        <v>283064</v>
      </c>
    </row>
    <row r="87" spans="1:6" ht="15.75">
      <c r="A87" s="15"/>
      <c r="B87" s="16" t="s">
        <v>19</v>
      </c>
      <c r="C87" s="17">
        <f>SUM(C80:C86)</f>
        <v>262474.13555616437</v>
      </c>
      <c r="D87" s="18"/>
      <c r="F87" s="62"/>
    </row>
    <row r="88" spans="1:6" ht="33.75" thickBot="1">
      <c r="A88" s="23"/>
      <c r="B88" s="24"/>
      <c r="C88" s="25" t="s">
        <v>46</v>
      </c>
      <c r="D88" s="26">
        <f>SUM(D80:D86)</f>
        <v>1394730.1355561642</v>
      </c>
      <c r="F88" s="64">
        <f>SUM(F80:F86)</f>
        <v>1132256</v>
      </c>
    </row>
    <row r="89" spans="1:6" ht="17.25" thickBot="1">
      <c r="A89" s="41"/>
      <c r="B89" s="42"/>
      <c r="C89" s="43"/>
      <c r="D89" s="44"/>
    </row>
    <row r="90" spans="1:6" ht="39" thickBot="1">
      <c r="A90" s="45" t="s">
        <v>11</v>
      </c>
      <c r="B90" s="46" t="s">
        <v>12</v>
      </c>
      <c r="C90" s="46" t="s">
        <v>13</v>
      </c>
      <c r="D90" s="47" t="s">
        <v>14</v>
      </c>
      <c r="F90" s="59" t="s">
        <v>77</v>
      </c>
    </row>
    <row r="91" spans="1:6" ht="15.75">
      <c r="A91" s="6" t="s">
        <v>47</v>
      </c>
      <c r="B91" s="7"/>
      <c r="C91" s="8"/>
      <c r="D91" s="9"/>
      <c r="F91" s="60"/>
    </row>
    <row r="92" spans="1:6" ht="15.75">
      <c r="A92" s="10">
        <f>A86-A144</f>
        <v>4529026.66</v>
      </c>
      <c r="B92" s="11">
        <v>0.05</v>
      </c>
      <c r="C92" s="12">
        <f>(A92*B92)/365*90</f>
        <v>55837.314986301375</v>
      </c>
      <c r="D92" s="13">
        <f>C92+A144</f>
        <v>338901.31498630135</v>
      </c>
      <c r="F92" s="61">
        <f>$A$144</f>
        <v>283064</v>
      </c>
    </row>
    <row r="93" spans="1:6" ht="15.75">
      <c r="A93" s="10" t="s">
        <v>48</v>
      </c>
      <c r="B93" s="11"/>
      <c r="C93" s="12"/>
      <c r="D93" s="13"/>
      <c r="F93" s="61"/>
    </row>
    <row r="94" spans="1:6" ht="15.75">
      <c r="A94" s="10">
        <f>A92-A144</f>
        <v>4245962.66</v>
      </c>
      <c r="B94" s="11">
        <v>0.05</v>
      </c>
      <c r="C94" s="12">
        <f>(A94*B94)/365*91</f>
        <v>52929.123569863019</v>
      </c>
      <c r="D94" s="13">
        <f>C94+A144</f>
        <v>335993.12356986303</v>
      </c>
      <c r="F94" s="61">
        <f>$A$144</f>
        <v>283064</v>
      </c>
    </row>
    <row r="95" spans="1:6" ht="15.75">
      <c r="A95" s="10" t="s">
        <v>49</v>
      </c>
      <c r="B95" s="11"/>
      <c r="C95" s="12"/>
      <c r="D95" s="13"/>
      <c r="F95" s="61"/>
    </row>
    <row r="96" spans="1:6" ht="15.75">
      <c r="A96" s="10">
        <f>A94-A144</f>
        <v>3962898.66</v>
      </c>
      <c r="B96" s="11">
        <v>0.05</v>
      </c>
      <c r="C96" s="12">
        <f>(A96*B96)/365*92</f>
        <v>49943.38037260274</v>
      </c>
      <c r="D96" s="13">
        <f>C96+A144</f>
        <v>333007.38037260273</v>
      </c>
      <c r="F96" s="61">
        <f>$A$144</f>
        <v>283064</v>
      </c>
    </row>
    <row r="97" spans="1:6" ht="15.75">
      <c r="A97" s="10" t="s">
        <v>50</v>
      </c>
      <c r="B97" s="11"/>
      <c r="C97" s="12"/>
      <c r="D97" s="13"/>
      <c r="F97" s="61"/>
    </row>
    <row r="98" spans="1:6" ht="16.5" thickBot="1">
      <c r="A98" s="10">
        <f>A96-A144</f>
        <v>3679834.66</v>
      </c>
      <c r="B98" s="11">
        <v>0.05</v>
      </c>
      <c r="C98" s="14">
        <f>(A98*B98)/365*92</f>
        <v>46375.998454794521</v>
      </c>
      <c r="D98" s="13">
        <f>C98+A144</f>
        <v>329439.99845479452</v>
      </c>
      <c r="F98" s="61">
        <f>$A$144</f>
        <v>283064</v>
      </c>
    </row>
    <row r="99" spans="1:6" ht="15.75">
      <c r="A99" s="15"/>
      <c r="B99" s="16" t="s">
        <v>19</v>
      </c>
      <c r="C99" s="17">
        <f>SUM(C92:C98)</f>
        <v>205085.81738356163</v>
      </c>
      <c r="D99" s="18"/>
      <c r="F99" s="62"/>
    </row>
    <row r="100" spans="1:6" ht="33.75" thickBot="1">
      <c r="A100" s="23"/>
      <c r="B100" s="24"/>
      <c r="C100" s="25" t="s">
        <v>51</v>
      </c>
      <c r="D100" s="26">
        <f>SUM(D92:D98)</f>
        <v>1337341.8173835617</v>
      </c>
      <c r="F100" s="64">
        <f>SUM(F92:F98)</f>
        <v>1132256</v>
      </c>
    </row>
    <row r="101" spans="1:6" ht="17.25" thickBot="1">
      <c r="A101" s="41"/>
      <c r="B101" s="42"/>
      <c r="C101" s="43"/>
      <c r="D101" s="44"/>
    </row>
    <row r="102" spans="1:6" ht="39" thickBot="1">
      <c r="A102" s="45" t="s">
        <v>11</v>
      </c>
      <c r="B102" s="46" t="s">
        <v>12</v>
      </c>
      <c r="C102" s="46" t="s">
        <v>13</v>
      </c>
      <c r="D102" s="47" t="s">
        <v>14</v>
      </c>
      <c r="F102" s="59" t="s">
        <v>77</v>
      </c>
    </row>
    <row r="103" spans="1:6" ht="15.75">
      <c r="A103" s="6" t="s">
        <v>52</v>
      </c>
      <c r="B103" s="7"/>
      <c r="C103" s="8"/>
      <c r="D103" s="9"/>
      <c r="F103" s="60"/>
    </row>
    <row r="104" spans="1:6" ht="15.75">
      <c r="A104" s="10">
        <f>A98-A144</f>
        <v>3396770.66</v>
      </c>
      <c r="B104" s="11">
        <v>0.05</v>
      </c>
      <c r="C104" s="12">
        <f>(A104*B104)/365*90</f>
        <v>41877.994438356167</v>
      </c>
      <c r="D104" s="13">
        <f>C104+A144</f>
        <v>324941.99443835614</v>
      </c>
      <c r="F104" s="61">
        <f>$A$144</f>
        <v>283064</v>
      </c>
    </row>
    <row r="105" spans="1:6" ht="15.75">
      <c r="A105" s="10" t="s">
        <v>53</v>
      </c>
      <c r="B105" s="11"/>
      <c r="C105" s="12"/>
      <c r="D105" s="13"/>
      <c r="F105" s="61"/>
    </row>
    <row r="106" spans="1:6" ht="15.75">
      <c r="A106" s="10">
        <f>A104-A144</f>
        <v>3113706.66</v>
      </c>
      <c r="B106" s="11">
        <v>0.05</v>
      </c>
      <c r="C106" s="12">
        <f>(A106*B106)/365*91</f>
        <v>38814.699460273972</v>
      </c>
      <c r="D106" s="13">
        <f>C106+A144</f>
        <v>321878.69946027396</v>
      </c>
      <c r="F106" s="61">
        <f>$A$144</f>
        <v>283064</v>
      </c>
    </row>
    <row r="107" spans="1:6" ht="15.75">
      <c r="A107" s="10" t="s">
        <v>54</v>
      </c>
      <c r="B107" s="11"/>
      <c r="C107" s="12"/>
      <c r="D107" s="13"/>
      <c r="F107" s="61"/>
    </row>
    <row r="108" spans="1:6" ht="15.75">
      <c r="A108" s="10">
        <f>A106-A144</f>
        <v>2830642.66</v>
      </c>
      <c r="B108" s="11">
        <v>0.05</v>
      </c>
      <c r="C108" s="12">
        <f>(A108*B108)/365*92</f>
        <v>35673.852701369862</v>
      </c>
      <c r="D108" s="13">
        <f>C108+A144</f>
        <v>318737.85270136985</v>
      </c>
      <c r="F108" s="61">
        <f>$A$144</f>
        <v>283064</v>
      </c>
    </row>
    <row r="109" spans="1:6" ht="15.75">
      <c r="A109" s="10" t="s">
        <v>55</v>
      </c>
      <c r="B109" s="11"/>
      <c r="C109" s="12"/>
      <c r="D109" s="13"/>
      <c r="F109" s="61"/>
    </row>
    <row r="110" spans="1:6" ht="16.5" thickBot="1">
      <c r="A110" s="10">
        <f>A108-A144</f>
        <v>2547578.66</v>
      </c>
      <c r="B110" s="11">
        <v>0.05</v>
      </c>
      <c r="C110" s="14">
        <f>(A110*B110)/365*92</f>
        <v>32106.47078356165</v>
      </c>
      <c r="D110" s="13">
        <f>C110+A144</f>
        <v>315170.47078356164</v>
      </c>
      <c r="F110" s="61">
        <f>$A$144</f>
        <v>283064</v>
      </c>
    </row>
    <row r="111" spans="1:6" ht="15.75">
      <c r="A111" s="15"/>
      <c r="B111" s="16" t="s">
        <v>19</v>
      </c>
      <c r="C111" s="17">
        <f>SUM(C104:C110)</f>
        <v>148473.01738356164</v>
      </c>
      <c r="D111" s="18"/>
      <c r="F111" s="62"/>
    </row>
    <row r="112" spans="1:6" ht="33.75" thickBot="1">
      <c r="A112" s="23"/>
      <c r="B112" s="24"/>
      <c r="C112" s="25" t="s">
        <v>56</v>
      </c>
      <c r="D112" s="26">
        <f>SUM(D104:D110)</f>
        <v>1280729.0173835617</v>
      </c>
      <c r="F112" s="64">
        <f>SUM(F104:F110)</f>
        <v>1132256</v>
      </c>
    </row>
    <row r="113" spans="1:6" ht="17.25" thickBot="1">
      <c r="A113" s="41"/>
      <c r="B113" s="42"/>
      <c r="C113" s="43"/>
      <c r="D113" s="44"/>
    </row>
    <row r="114" spans="1:6" ht="39" thickBot="1">
      <c r="A114" s="45" t="s">
        <v>11</v>
      </c>
      <c r="B114" s="46" t="s">
        <v>12</v>
      </c>
      <c r="C114" s="46" t="s">
        <v>13</v>
      </c>
      <c r="D114" s="47" t="s">
        <v>14</v>
      </c>
      <c r="F114" s="59" t="s">
        <v>77</v>
      </c>
    </row>
    <row r="115" spans="1:6" ht="15.75">
      <c r="A115" s="6" t="s">
        <v>57</v>
      </c>
      <c r="B115" s="7"/>
      <c r="C115" s="8"/>
      <c r="D115" s="9"/>
      <c r="F115" s="60"/>
    </row>
    <row r="116" spans="1:6" ht="15.75">
      <c r="A116" s="10">
        <f>A110-A144</f>
        <v>2264514.66</v>
      </c>
      <c r="B116" s="11">
        <v>0.05</v>
      </c>
      <c r="C116" s="12">
        <f>(A116*B116)/365*90</f>
        <v>27918.673890410962</v>
      </c>
      <c r="D116" s="13">
        <f>C116+A144</f>
        <v>310982.67389041098</v>
      </c>
      <c r="F116" s="61">
        <f>$A$144</f>
        <v>283064</v>
      </c>
    </row>
    <row r="117" spans="1:6" ht="15.75">
      <c r="A117" s="10" t="s">
        <v>58</v>
      </c>
      <c r="B117" s="11"/>
      <c r="C117" s="12"/>
      <c r="D117" s="13"/>
      <c r="F117" s="61"/>
    </row>
    <row r="118" spans="1:6" ht="15.75">
      <c r="A118" s="10">
        <f>A116-A144</f>
        <v>1981450.6600000001</v>
      </c>
      <c r="B118" s="11">
        <v>0.05</v>
      </c>
      <c r="C118" s="12">
        <f>(A118*B118)/365*91</f>
        <v>24700.275350684933</v>
      </c>
      <c r="D118" s="13">
        <f>C118+A144</f>
        <v>307764.27535068494</v>
      </c>
      <c r="F118" s="61">
        <f>$A$144</f>
        <v>283064</v>
      </c>
    </row>
    <row r="119" spans="1:6" ht="15.75">
      <c r="A119" s="10" t="s">
        <v>59</v>
      </c>
      <c r="B119" s="11"/>
      <c r="C119" s="12"/>
      <c r="D119" s="13"/>
      <c r="F119" s="61"/>
    </row>
    <row r="120" spans="1:6" ht="15.75">
      <c r="A120" s="10">
        <f>A118-A144</f>
        <v>1698386.6600000001</v>
      </c>
      <c r="B120" s="11">
        <v>0.05</v>
      </c>
      <c r="C120" s="12">
        <f>(A120*B120)/365*92</f>
        <v>21404.325030136988</v>
      </c>
      <c r="D120" s="13">
        <f>C120+A144</f>
        <v>304468.32503013697</v>
      </c>
      <c r="F120" s="61">
        <f>$A$144</f>
        <v>283064</v>
      </c>
    </row>
    <row r="121" spans="1:6" ht="15.75">
      <c r="A121" s="10" t="s">
        <v>60</v>
      </c>
      <c r="B121" s="11"/>
      <c r="C121" s="12"/>
      <c r="D121" s="13"/>
      <c r="F121" s="61"/>
    </row>
    <row r="122" spans="1:6" ht="16.5" thickBot="1">
      <c r="A122" s="10">
        <f>A120-A144</f>
        <v>1415322.6600000001</v>
      </c>
      <c r="B122" s="11">
        <v>0.05</v>
      </c>
      <c r="C122" s="14">
        <f>(A122*B122)/365*92</f>
        <v>17836.943112328772</v>
      </c>
      <c r="D122" s="13">
        <f>C122+A144</f>
        <v>300900.94311232876</v>
      </c>
      <c r="F122" s="61">
        <f>$A$144</f>
        <v>283064</v>
      </c>
    </row>
    <row r="123" spans="1:6" ht="15.75">
      <c r="A123" s="15"/>
      <c r="B123" s="16" t="s">
        <v>19</v>
      </c>
      <c r="C123" s="17">
        <f>SUM(C116:C122)</f>
        <v>91860.217383561656</v>
      </c>
      <c r="D123" s="18"/>
      <c r="F123" s="62"/>
    </row>
    <row r="124" spans="1:6" ht="33.75" thickBot="1">
      <c r="A124" s="23"/>
      <c r="B124" s="24"/>
      <c r="C124" s="25" t="s">
        <v>61</v>
      </c>
      <c r="D124" s="26">
        <f>SUM(D116:D122)</f>
        <v>1224116.2173835617</v>
      </c>
      <c r="F124" s="64">
        <f>SUM(F116:F122)</f>
        <v>1132256</v>
      </c>
    </row>
    <row r="125" spans="1:6" ht="17.25" thickBot="1">
      <c r="A125" s="41"/>
      <c r="B125" s="42"/>
      <c r="C125" s="43"/>
      <c r="D125" s="44"/>
    </row>
    <row r="126" spans="1:6" ht="39" thickBot="1">
      <c r="A126" s="45" t="s">
        <v>11</v>
      </c>
      <c r="B126" s="46" t="s">
        <v>12</v>
      </c>
      <c r="C126" s="46" t="s">
        <v>13</v>
      </c>
      <c r="D126" s="47" t="s">
        <v>14</v>
      </c>
      <c r="F126" s="59" t="s">
        <v>77</v>
      </c>
    </row>
    <row r="127" spans="1:6" ht="15.75">
      <c r="A127" s="6" t="s">
        <v>62</v>
      </c>
      <c r="B127" s="7"/>
      <c r="C127" s="8"/>
      <c r="D127" s="9"/>
      <c r="F127" s="60"/>
    </row>
    <row r="128" spans="1:6" ht="15.75">
      <c r="A128" s="10">
        <f>A122-A144</f>
        <v>1132258.6600000001</v>
      </c>
      <c r="B128" s="11">
        <v>0.05</v>
      </c>
      <c r="C128" s="12">
        <f>(A128*B128)/365*91</f>
        <v>14114.457268493152</v>
      </c>
      <c r="D128" s="13">
        <f>C128+A144</f>
        <v>297178.45726849313</v>
      </c>
      <c r="F128" s="61">
        <f>$A$144</f>
        <v>283064</v>
      </c>
    </row>
    <row r="129" spans="1:6" ht="15.75">
      <c r="A129" s="10" t="s">
        <v>63</v>
      </c>
      <c r="B129" s="11"/>
      <c r="C129" s="12"/>
      <c r="D129" s="13"/>
      <c r="F129" s="61"/>
    </row>
    <row r="130" spans="1:6" ht="15.75">
      <c r="A130" s="10">
        <f>A128-A144</f>
        <v>849194.66000000015</v>
      </c>
      <c r="B130" s="11">
        <v>0.05</v>
      </c>
      <c r="C130" s="12">
        <f>(A130*B130)/365*91</f>
        <v>10585.851241095892</v>
      </c>
      <c r="D130" s="13">
        <f>C130+A144</f>
        <v>293649.85124109586</v>
      </c>
      <c r="F130" s="61">
        <f>$A$144</f>
        <v>283064</v>
      </c>
    </row>
    <row r="131" spans="1:6" ht="15.75">
      <c r="A131" s="10" t="s">
        <v>64</v>
      </c>
      <c r="B131" s="11"/>
      <c r="C131" s="12"/>
      <c r="D131" s="13"/>
      <c r="F131" s="61"/>
    </row>
    <row r="132" spans="1:6" ht="15.75">
      <c r="A132" s="10">
        <f>A130-A144</f>
        <v>566130.66000000015</v>
      </c>
      <c r="B132" s="11">
        <v>0.05</v>
      </c>
      <c r="C132" s="12">
        <f>(A132*B132)/365*92</f>
        <v>7134.7973589041121</v>
      </c>
      <c r="D132" s="13">
        <f>C132+A144</f>
        <v>290198.79735890409</v>
      </c>
      <c r="F132" s="61">
        <f>$A$144</f>
        <v>283064</v>
      </c>
    </row>
    <row r="133" spans="1:6" ht="15.75">
      <c r="A133" s="10" t="s">
        <v>65</v>
      </c>
      <c r="B133" s="11"/>
      <c r="C133" s="12"/>
      <c r="D133" s="13"/>
      <c r="F133" s="61"/>
    </row>
    <row r="134" spans="1:6" ht="16.5" thickBot="1">
      <c r="A134" s="10">
        <f>A132-A144</f>
        <v>283066.66000000015</v>
      </c>
      <c r="B134" s="11">
        <v>0.05</v>
      </c>
      <c r="C134" s="14">
        <f>(A134*B134)/365*92</f>
        <v>3567.4154410958922</v>
      </c>
      <c r="D134" s="13">
        <f>C134+A145</f>
        <v>286634.07544109586</v>
      </c>
      <c r="F134" s="61">
        <f>A145</f>
        <v>283066.65999999997</v>
      </c>
    </row>
    <row r="135" spans="1:6" ht="15.75">
      <c r="A135" s="15"/>
      <c r="B135" s="16" t="s">
        <v>19</v>
      </c>
      <c r="C135" s="17">
        <f>SUM(C128:C134)</f>
        <v>35402.52130958905</v>
      </c>
      <c r="D135" s="18"/>
      <c r="F135" s="62"/>
    </row>
    <row r="136" spans="1:6" ht="33.75" thickBot="1">
      <c r="A136" s="23"/>
      <c r="B136" s="24"/>
      <c r="C136" s="25" t="s">
        <v>66</v>
      </c>
      <c r="D136" s="26">
        <f>SUM(D128:D134)</f>
        <v>1167661.1813095887</v>
      </c>
      <c r="F136" s="64">
        <f>SUM(F128:F134)</f>
        <v>1132258.6599999999</v>
      </c>
    </row>
    <row r="137" spans="1:6" ht="16.5">
      <c r="A137" s="41"/>
      <c r="B137" s="42"/>
      <c r="C137" s="43"/>
      <c r="D137" s="44"/>
    </row>
    <row r="138" spans="1:6" ht="18">
      <c r="A138" s="428" t="s">
        <v>67</v>
      </c>
      <c r="B138" s="428"/>
      <c r="C138" s="428"/>
      <c r="D138" s="69">
        <f>SUM(D140:D142)</f>
        <v>14426611.116688136</v>
      </c>
      <c r="F138" s="375">
        <f>SUM(F16,F28,F40,F52,F64,F76,F88,F100,F112,F124,F136)</f>
        <v>11322562.66</v>
      </c>
    </row>
    <row r="139" spans="1:6" ht="16.5">
      <c r="A139" s="429" t="s">
        <v>68</v>
      </c>
      <c r="B139" s="429"/>
      <c r="C139" s="429"/>
      <c r="D139" s="49"/>
    </row>
    <row r="140" spans="1:6">
      <c r="A140" s="425" t="s">
        <v>69</v>
      </c>
      <c r="B140" s="425"/>
      <c r="C140" s="425"/>
      <c r="D140" s="50">
        <f>A144*39+A145</f>
        <v>11322562.66</v>
      </c>
    </row>
    <row r="141" spans="1:6">
      <c r="A141" s="425" t="s">
        <v>70</v>
      </c>
      <c r="B141" s="425"/>
      <c r="C141" s="425"/>
      <c r="D141" s="50">
        <f>SUM(C14,C27,C39,C51,C63,C75,C87,C99,C111,C123,C135)</f>
        <v>3093858.1502941367</v>
      </c>
      <c r="F141" s="53"/>
    </row>
    <row r="142" spans="1:6">
      <c r="A142" s="425" t="s">
        <v>71</v>
      </c>
      <c r="B142" s="425"/>
      <c r="C142" s="425"/>
      <c r="D142" s="50">
        <f>C15</f>
        <v>10190.306393999999</v>
      </c>
    </row>
    <row r="143" spans="1:6">
      <c r="A143" s="51" t="s">
        <v>72</v>
      </c>
      <c r="B143" s="111"/>
    </row>
    <row r="144" spans="1:6" ht="15.75">
      <c r="A144" s="378">
        <f>11322560/40</f>
        <v>283064</v>
      </c>
      <c r="B144" s="27" t="s">
        <v>173</v>
      </c>
      <c r="C144" s="421" t="s">
        <v>83</v>
      </c>
      <c r="D144" s="421"/>
    </row>
    <row r="145" spans="1:4" ht="15.75">
      <c r="A145" s="379">
        <v>283066.65999999997</v>
      </c>
      <c r="B145" s="27" t="s">
        <v>145</v>
      </c>
      <c r="D145" s="377">
        <f>SUM(D141:D142)</f>
        <v>3104048.4566881368</v>
      </c>
    </row>
  </sheetData>
  <mergeCells count="8">
    <mergeCell ref="A142:C142"/>
    <mergeCell ref="C144:D144"/>
    <mergeCell ref="A2:F2"/>
    <mergeCell ref="A3:D3"/>
    <mergeCell ref="A138:C138"/>
    <mergeCell ref="A139:C139"/>
    <mergeCell ref="A140:C140"/>
    <mergeCell ref="A141:C141"/>
  </mergeCells>
  <pageMargins left="0.34" right="0.35" top="0.34" bottom="0.41" header="0.21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20</vt:i4>
      </vt:variant>
      <vt:variant>
        <vt:lpstr>Zakresy nazwane</vt:lpstr>
      </vt:variant>
      <vt:variant>
        <vt:i4>14</vt:i4>
      </vt:variant>
    </vt:vector>
  </HeadingPairs>
  <TitlesOfParts>
    <vt:vector size="34" baseType="lpstr">
      <vt:lpstr>WPF - nowy</vt:lpstr>
      <vt:lpstr>WPF</vt:lpstr>
      <vt:lpstr>DANE ZBIORCZE</vt:lpstr>
      <vt:lpstr>wielkości początkowe</vt:lpstr>
      <vt:lpstr>Koszty kredytów</vt:lpstr>
      <vt:lpstr>2009(40 mln)</vt:lpstr>
      <vt:lpstr>2010(Stadion)</vt:lpstr>
      <vt:lpstr>2010(Drogi)</vt:lpstr>
      <vt:lpstr>2010(Kultura, Akcje+Elfy)</vt:lpstr>
      <vt:lpstr>2011(90mln)</vt:lpstr>
      <vt:lpstr>2011(57mln)</vt:lpstr>
      <vt:lpstr>2011(18mln)</vt:lpstr>
      <vt:lpstr>2011(31mln)</vt:lpstr>
      <vt:lpstr>2012(Stadion)</vt:lpstr>
      <vt:lpstr>2012(Drogi)</vt:lpstr>
      <vt:lpstr>2012(KL)</vt:lpstr>
      <vt:lpstr>KREDYT 2013</vt:lpstr>
      <vt:lpstr>KREDYT 2014</vt:lpstr>
      <vt:lpstr>Zestawienie kredytów</vt:lpstr>
      <vt:lpstr>WPF - dochody wł + subwencja</vt:lpstr>
      <vt:lpstr>'2009(40 mln)'!Obszar_wydruku</vt:lpstr>
      <vt:lpstr>'2011(18mln)'!Obszar_wydruku</vt:lpstr>
      <vt:lpstr>'2011(31mln)'!Obszar_wydruku</vt:lpstr>
      <vt:lpstr>'2011(57mln)'!Obszar_wydruku</vt:lpstr>
      <vt:lpstr>'2011(90mln)'!Obszar_wydruku</vt:lpstr>
      <vt:lpstr>'2012(Drogi)'!Obszar_wydruku</vt:lpstr>
      <vt:lpstr>'2012(KL)'!Obszar_wydruku</vt:lpstr>
      <vt:lpstr>'2012(Stadion)'!Obszar_wydruku</vt:lpstr>
      <vt:lpstr>'DANE ZBIORCZE'!Obszar_wydruku</vt:lpstr>
      <vt:lpstr>WPF!Obszar_wydruku</vt:lpstr>
      <vt:lpstr>'Zestawienie kredytów'!Obszar_wydruku</vt:lpstr>
      <vt:lpstr>WPF!Tytuły_wydruku</vt:lpstr>
      <vt:lpstr>'WPF - dochody wł + subwencja'!Tytuły_wydruku</vt:lpstr>
      <vt:lpstr>'WPF - nowy'!Tytuły_wydruku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szymczykd</cp:lastModifiedBy>
  <cp:lastPrinted>2012-10-26T13:24:18Z</cp:lastPrinted>
  <dcterms:created xsi:type="dcterms:W3CDTF">2010-07-09T09:57:58Z</dcterms:created>
  <dcterms:modified xsi:type="dcterms:W3CDTF">2012-12-27T11:33:20Z</dcterms:modified>
</cp:coreProperties>
</file>