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81\es\Współpraca się opłaca III\budzet ost\"/>
    </mc:Choice>
  </mc:AlternateContent>
  <xr:revisionPtr revIDLastSave="0" documentId="13_ncr:1_{D3F49C7E-A114-416B-8577-2580AAB03A53}" xr6:coauthVersionLast="45" xr6:coauthVersionMax="46" xr10:uidLastSave="{00000000-0000-0000-0000-000000000000}"/>
  <bookViews>
    <workbookView xWindow="-120" yWindow="-120" windowWidth="29040" windowHeight="15840" tabRatio="500" xr2:uid="{00000000-000D-0000-FFFF-FFFF00000000}"/>
  </bookViews>
  <sheets>
    <sheet name="Harmonogram" sheetId="1" r:id="rId1"/>
    <sheet name="dane pomocnicze" sheetId="2" state="hidden" r:id="rId2"/>
    <sheet name="Arkusz1" sheetId="3" state="hidden" r:id="rId3"/>
  </sheets>
  <definedNames>
    <definedName name="kwartaly">'dane pomocnicze'!$B$2:$B$5</definedName>
    <definedName name="miesiące">'dane pomocnicze'!$C$2:$C$127</definedName>
    <definedName name="_xlnm.Print_Area" localSheetId="0">Harmonogram!$B$1:$W$99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4" i="3" l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I20" i="3" s="1"/>
  <c r="H19" i="3"/>
  <c r="I19" i="3" s="1"/>
  <c r="H89" i="1"/>
  <c r="H88" i="1"/>
  <c r="P87" i="1"/>
  <c r="L87" i="1"/>
  <c r="H87" i="1" s="1"/>
  <c r="H86" i="1"/>
  <c r="H85" i="1"/>
  <c r="P84" i="1"/>
  <c r="H84" i="1" s="1"/>
  <c r="L84" i="1"/>
  <c r="P78" i="1"/>
  <c r="O78" i="1"/>
  <c r="P77" i="1"/>
  <c r="O77" i="1"/>
  <c r="AS76" i="1"/>
  <c r="M14" i="2" s="1"/>
  <c r="N14" i="2" s="1"/>
  <c r="R14" i="2" s="1"/>
  <c r="AC76" i="1"/>
  <c r="M16" i="2" s="1"/>
  <c r="N16" i="2" s="1"/>
  <c r="R16" i="2" s="1"/>
  <c r="Q76" i="1"/>
  <c r="K76" i="1"/>
  <c r="M11" i="2" s="1"/>
  <c r="N11" i="2" s="1"/>
  <c r="R11" i="2" s="1"/>
  <c r="J76" i="1"/>
  <c r="X75" i="1"/>
  <c r="N75" i="1"/>
  <c r="X74" i="1"/>
  <c r="N74" i="1"/>
  <c r="AI73" i="1"/>
  <c r="AG73" i="1" s="1"/>
  <c r="AH73" i="1"/>
  <c r="AB73" i="1"/>
  <c r="P73" i="1"/>
  <c r="N73" i="1" s="1"/>
  <c r="O73" i="1"/>
  <c r="I73" i="1"/>
  <c r="F73" i="1"/>
  <c r="E73" i="1"/>
  <c r="D73" i="1"/>
  <c r="C73" i="1"/>
  <c r="X72" i="1"/>
  <c r="N72" i="1"/>
  <c r="X71" i="1"/>
  <c r="N71" i="1"/>
  <c r="AI70" i="1"/>
  <c r="AH70" i="1"/>
  <c r="AG70" i="1"/>
  <c r="AB70" i="1"/>
  <c r="P70" i="1"/>
  <c r="O70" i="1"/>
  <c r="N70" i="1"/>
  <c r="I70" i="1"/>
  <c r="F70" i="1"/>
  <c r="E70" i="1"/>
  <c r="D70" i="1"/>
  <c r="C70" i="1"/>
  <c r="X69" i="1"/>
  <c r="N69" i="1"/>
  <c r="X68" i="1"/>
  <c r="N68" i="1"/>
  <c r="AI67" i="1"/>
  <c r="AH67" i="1"/>
  <c r="AG67" i="1"/>
  <c r="AB67" i="1"/>
  <c r="P67" i="1"/>
  <c r="O67" i="1"/>
  <c r="N67" i="1"/>
  <c r="I67" i="1"/>
  <c r="F67" i="1"/>
  <c r="E67" i="1"/>
  <c r="D67" i="1"/>
  <c r="C67" i="1"/>
  <c r="X66" i="1"/>
  <c r="N66" i="1"/>
  <c r="X65" i="1"/>
  <c r="N65" i="1"/>
  <c r="AI64" i="1"/>
  <c r="AH64" i="1"/>
  <c r="AG64" i="1"/>
  <c r="AB64" i="1"/>
  <c r="P64" i="1"/>
  <c r="O64" i="1"/>
  <c r="N64" i="1" s="1"/>
  <c r="I64" i="1"/>
  <c r="F64" i="1"/>
  <c r="E64" i="1"/>
  <c r="D64" i="1"/>
  <c r="C64" i="1"/>
  <c r="X63" i="1"/>
  <c r="N63" i="1"/>
  <c r="X62" i="1"/>
  <c r="N62" i="1"/>
  <c r="AI61" i="1"/>
  <c r="AH61" i="1"/>
  <c r="AG61" i="1"/>
  <c r="AB61" i="1"/>
  <c r="P61" i="1"/>
  <c r="O61" i="1"/>
  <c r="N61" i="1" s="1"/>
  <c r="I61" i="1"/>
  <c r="F61" i="1"/>
  <c r="E61" i="1"/>
  <c r="D61" i="1"/>
  <c r="C61" i="1"/>
  <c r="X60" i="1"/>
  <c r="N60" i="1"/>
  <c r="X59" i="1"/>
  <c r="N59" i="1"/>
  <c r="AI58" i="1"/>
  <c r="AH58" i="1"/>
  <c r="AG58" i="1"/>
  <c r="AB58" i="1"/>
  <c r="P58" i="1"/>
  <c r="O58" i="1"/>
  <c r="N58" i="1"/>
  <c r="I58" i="1"/>
  <c r="F58" i="1"/>
  <c r="E58" i="1"/>
  <c r="D58" i="1"/>
  <c r="C58" i="1"/>
  <c r="X57" i="1"/>
  <c r="N57" i="1"/>
  <c r="X56" i="1"/>
  <c r="N56" i="1"/>
  <c r="AI55" i="1"/>
  <c r="AH55" i="1"/>
  <c r="AG55" i="1" s="1"/>
  <c r="AB55" i="1"/>
  <c r="P55" i="1"/>
  <c r="O55" i="1"/>
  <c r="N55" i="1"/>
  <c r="I55" i="1"/>
  <c r="F55" i="1"/>
  <c r="E55" i="1"/>
  <c r="D55" i="1"/>
  <c r="C55" i="1"/>
  <c r="X54" i="1"/>
  <c r="N54" i="1"/>
  <c r="X53" i="1"/>
  <c r="N53" i="1"/>
  <c r="AI52" i="1"/>
  <c r="AH52" i="1"/>
  <c r="AG52" i="1"/>
  <c r="AB52" i="1"/>
  <c r="P52" i="1"/>
  <c r="O52" i="1"/>
  <c r="N52" i="1" s="1"/>
  <c r="I52" i="1"/>
  <c r="F52" i="1"/>
  <c r="E52" i="1"/>
  <c r="D52" i="1"/>
  <c r="C52" i="1"/>
  <c r="X51" i="1"/>
  <c r="N51" i="1"/>
  <c r="X50" i="1"/>
  <c r="N50" i="1"/>
  <c r="AI49" i="1"/>
  <c r="AH49" i="1"/>
  <c r="AG49" i="1" s="1"/>
  <c r="AB49" i="1"/>
  <c r="P49" i="1"/>
  <c r="O49" i="1"/>
  <c r="N49" i="1" s="1"/>
  <c r="I49" i="1"/>
  <c r="F49" i="1"/>
  <c r="E49" i="1"/>
  <c r="D49" i="1"/>
  <c r="C49" i="1"/>
  <c r="X48" i="1"/>
  <c r="N48" i="1"/>
  <c r="X47" i="1"/>
  <c r="N47" i="1"/>
  <c r="AI46" i="1"/>
  <c r="AH46" i="1"/>
  <c r="AG46" i="1"/>
  <c r="AB46" i="1"/>
  <c r="P46" i="1"/>
  <c r="O46" i="1"/>
  <c r="I46" i="1"/>
  <c r="F46" i="1"/>
  <c r="E46" i="1"/>
  <c r="D46" i="1"/>
  <c r="C46" i="1"/>
  <c r="X45" i="1"/>
  <c r="N45" i="1"/>
  <c r="X44" i="1"/>
  <c r="N44" i="1"/>
  <c r="AI43" i="1"/>
  <c r="AH43" i="1"/>
  <c r="AG43" i="1" s="1"/>
  <c r="AB43" i="1"/>
  <c r="P43" i="1"/>
  <c r="O43" i="1"/>
  <c r="I43" i="1"/>
  <c r="F43" i="1"/>
  <c r="E43" i="1"/>
  <c r="D43" i="1"/>
  <c r="C43" i="1"/>
  <c r="X42" i="1"/>
  <c r="N42" i="1"/>
  <c r="X41" i="1"/>
  <c r="N41" i="1"/>
  <c r="AI40" i="1"/>
  <c r="AH40" i="1"/>
  <c r="AG40" i="1"/>
  <c r="AB40" i="1"/>
  <c r="P40" i="1"/>
  <c r="O40" i="1"/>
  <c r="I40" i="1"/>
  <c r="F40" i="1"/>
  <c r="E40" i="1"/>
  <c r="D40" i="1"/>
  <c r="C40" i="1"/>
  <c r="X39" i="1"/>
  <c r="N39" i="1"/>
  <c r="X38" i="1"/>
  <c r="N38" i="1"/>
  <c r="AI37" i="1"/>
  <c r="AH37" i="1"/>
  <c r="AG37" i="1"/>
  <c r="AB37" i="1"/>
  <c r="P37" i="1"/>
  <c r="O37" i="1"/>
  <c r="N37" i="1" s="1"/>
  <c r="I37" i="1"/>
  <c r="F37" i="1"/>
  <c r="E37" i="1"/>
  <c r="D37" i="1"/>
  <c r="C37" i="1"/>
  <c r="X36" i="1"/>
  <c r="N36" i="1"/>
  <c r="X35" i="1"/>
  <c r="N35" i="1"/>
  <c r="AI34" i="1"/>
  <c r="AG34" i="1" s="1"/>
  <c r="AH34" i="1"/>
  <c r="AB34" i="1"/>
  <c r="P34" i="1"/>
  <c r="O34" i="1"/>
  <c r="I34" i="1"/>
  <c r="F34" i="1"/>
  <c r="E34" i="1"/>
  <c r="D34" i="1"/>
  <c r="C34" i="1"/>
  <c r="X33" i="1"/>
  <c r="N33" i="1"/>
  <c r="AJ31" i="1" s="1"/>
  <c r="X32" i="1"/>
  <c r="N32" i="1"/>
  <c r="AI31" i="1"/>
  <c r="AH31" i="1"/>
  <c r="AB31" i="1"/>
  <c r="Y31" i="1"/>
  <c r="P31" i="1"/>
  <c r="N31" i="1" s="1"/>
  <c r="O31" i="1"/>
  <c r="I31" i="1"/>
  <c r="F31" i="1"/>
  <c r="E31" i="1"/>
  <c r="D31" i="1"/>
  <c r="C31" i="1"/>
  <c r="Y13" i="1"/>
  <c r="H9" i="1"/>
  <c r="N43" i="1" l="1"/>
  <c r="R44" i="1" s="1"/>
  <c r="N40" i="1"/>
  <c r="R42" i="1" s="1"/>
  <c r="I76" i="1"/>
  <c r="M3" i="2" s="1"/>
  <c r="N3" i="2" s="1"/>
  <c r="AG31" i="1"/>
  <c r="AG76" i="1" s="1"/>
  <c r="N34" i="1"/>
  <c r="R35" i="1" s="1"/>
  <c r="N46" i="1"/>
  <c r="R47" i="1" s="1"/>
  <c r="M2" i="2"/>
  <c r="N2" i="2" s="1"/>
  <c r="H14" i="1"/>
  <c r="Q12" i="1"/>
  <c r="AI33" i="1" s="1"/>
  <c r="K33" i="1" s="1"/>
  <c r="Q11" i="1"/>
  <c r="AH32" i="1" s="1"/>
  <c r="AA31" i="1"/>
  <c r="X31" i="1"/>
  <c r="AM31" i="1"/>
  <c r="AL31" i="1"/>
  <c r="N77" i="1"/>
  <c r="AJ70" i="1"/>
  <c r="L70" i="1"/>
  <c r="Y70" i="1" s="1"/>
  <c r="AJ67" i="1"/>
  <c r="L67" i="1"/>
  <c r="Y67" i="1" s="1"/>
  <c r="AJ64" i="1"/>
  <c r="L64" i="1"/>
  <c r="Y64" i="1" s="1"/>
  <c r="AJ34" i="1"/>
  <c r="L34" i="1"/>
  <c r="Y34" i="1" s="1"/>
  <c r="R32" i="1"/>
  <c r="N78" i="1"/>
  <c r="R33" i="1"/>
  <c r="AA34" i="1"/>
  <c r="X34" i="1"/>
  <c r="AT34" i="1"/>
  <c r="AI36" i="1"/>
  <c r="K36" i="1" s="1"/>
  <c r="AJ73" i="1"/>
  <c r="L73" i="1"/>
  <c r="Y73" i="1" s="1"/>
  <c r="AJ37" i="1"/>
  <c r="L37" i="1"/>
  <c r="Y37" i="1" s="1"/>
  <c r="R36" i="1"/>
  <c r="AA37" i="1"/>
  <c r="X37" i="1"/>
  <c r="AT37" i="1"/>
  <c r="AJ40" i="1"/>
  <c r="L40" i="1"/>
  <c r="Y40" i="1" s="1"/>
  <c r="R38" i="1"/>
  <c r="R39" i="1"/>
  <c r="AA40" i="1"/>
  <c r="X40" i="1"/>
  <c r="AT40" i="1"/>
  <c r="AJ43" i="1"/>
  <c r="L43" i="1"/>
  <c r="Y43" i="1" s="1"/>
  <c r="AA43" i="1"/>
  <c r="X43" i="1"/>
  <c r="AT43" i="1"/>
  <c r="AI45" i="1"/>
  <c r="K45" i="1" s="1"/>
  <c r="AJ46" i="1"/>
  <c r="L46" i="1"/>
  <c r="Y46" i="1" s="1"/>
  <c r="AA46" i="1"/>
  <c r="X46" i="1"/>
  <c r="AT46" i="1"/>
  <c r="AH48" i="1"/>
  <c r="AI48" i="1"/>
  <c r="K48" i="1" s="1"/>
  <c r="AJ49" i="1"/>
  <c r="L49" i="1"/>
  <c r="Y49" i="1" s="1"/>
  <c r="R48" i="1"/>
  <c r="AA49" i="1"/>
  <c r="X49" i="1"/>
  <c r="AT49" i="1"/>
  <c r="AH51" i="1"/>
  <c r="AJ52" i="1"/>
  <c r="L52" i="1"/>
  <c r="Y52" i="1" s="1"/>
  <c r="R50" i="1"/>
  <c r="R51" i="1"/>
  <c r="AA52" i="1"/>
  <c r="X52" i="1"/>
  <c r="AT52" i="1"/>
  <c r="AJ55" i="1"/>
  <c r="L55" i="1"/>
  <c r="Y55" i="1" s="1"/>
  <c r="R53" i="1"/>
  <c r="R54" i="1"/>
  <c r="AA55" i="1"/>
  <c r="X55" i="1"/>
  <c r="AT55" i="1"/>
  <c r="AH57" i="1"/>
  <c r="AI57" i="1"/>
  <c r="K57" i="1" s="1"/>
  <c r="AJ58" i="1"/>
  <c r="L58" i="1"/>
  <c r="Y58" i="1" s="1"/>
  <c r="R56" i="1"/>
  <c r="R57" i="1"/>
  <c r="AA58" i="1"/>
  <c r="X58" i="1"/>
  <c r="AT58" i="1"/>
  <c r="AH60" i="1"/>
  <c r="AJ61" i="1"/>
  <c r="L61" i="1"/>
  <c r="Y61" i="1" s="1"/>
  <c r="R59" i="1"/>
  <c r="R60" i="1"/>
  <c r="AA61" i="1"/>
  <c r="X61" i="1"/>
  <c r="AT61" i="1"/>
  <c r="O76" i="1"/>
  <c r="P76" i="1"/>
  <c r="M13" i="2" s="1"/>
  <c r="N13" i="2" s="1"/>
  <c r="R13" i="2" s="1"/>
  <c r="AH63" i="1"/>
  <c r="AH62" i="1"/>
  <c r="R62" i="1"/>
  <c r="R63" i="1"/>
  <c r="AA64" i="1"/>
  <c r="X64" i="1"/>
  <c r="AT64" i="1"/>
  <c r="AI66" i="1"/>
  <c r="K66" i="1" s="1"/>
  <c r="AI65" i="1"/>
  <c r="K65" i="1" s="1"/>
  <c r="R65" i="1"/>
  <c r="R66" i="1"/>
  <c r="AA67" i="1"/>
  <c r="X67" i="1"/>
  <c r="AT67" i="1"/>
  <c r="AH69" i="1"/>
  <c r="AI69" i="1"/>
  <c r="K69" i="1" s="1"/>
  <c r="R68" i="1"/>
  <c r="R69" i="1"/>
  <c r="AA70" i="1"/>
  <c r="X70" i="1"/>
  <c r="AT70" i="1"/>
  <c r="AH72" i="1"/>
  <c r="AI72" i="1"/>
  <c r="K72" i="1" s="1"/>
  <c r="R71" i="1"/>
  <c r="R72" i="1"/>
  <c r="AA73" i="1"/>
  <c r="X73" i="1"/>
  <c r="AT73" i="1"/>
  <c r="AI75" i="1"/>
  <c r="K75" i="1" s="1"/>
  <c r="AI74" i="1"/>
  <c r="K74" i="1" s="1"/>
  <c r="R74" i="1"/>
  <c r="R75" i="1"/>
  <c r="M10" i="2"/>
  <c r="N10" i="2" s="1"/>
  <c r="M5" i="2"/>
  <c r="N5" i="2" s="1"/>
  <c r="T90" i="1"/>
  <c r="T93" i="1" s="1"/>
  <c r="L91" i="1"/>
  <c r="P91" i="1"/>
  <c r="L92" i="1"/>
  <c r="P92" i="1"/>
  <c r="Z64" i="1" l="1"/>
  <c r="R45" i="1"/>
  <c r="R41" i="1"/>
  <c r="N76" i="1"/>
  <c r="R78" i="1" s="1"/>
  <c r="Z70" i="1"/>
  <c r="AI60" i="1"/>
  <c r="K60" i="1" s="1"/>
  <c r="AH33" i="1"/>
  <c r="AI71" i="1"/>
  <c r="K71" i="1" s="1"/>
  <c r="AH68" i="1"/>
  <c r="AG68" i="1" s="1"/>
  <c r="AH74" i="1"/>
  <c r="AH65" i="1"/>
  <c r="AG65" i="1" s="1"/>
  <c r="AI62" i="1"/>
  <c r="K62" i="1" s="1"/>
  <c r="AI54" i="1"/>
  <c r="K54" i="1" s="1"/>
  <c r="AH45" i="1"/>
  <c r="AI42" i="1"/>
  <c r="K42" i="1" s="1"/>
  <c r="AH36" i="1"/>
  <c r="AH75" i="1"/>
  <c r="AG75" i="1" s="1"/>
  <c r="AH71" i="1"/>
  <c r="AI68" i="1"/>
  <c r="K68" i="1" s="1"/>
  <c r="AH66" i="1"/>
  <c r="AG66" i="1" s="1"/>
  <c r="AI63" i="1"/>
  <c r="K63" i="1" s="1"/>
  <c r="AH54" i="1"/>
  <c r="AI51" i="1"/>
  <c r="K51" i="1" s="1"/>
  <c r="AH42" i="1"/>
  <c r="AG42" i="1" s="1"/>
  <c r="AI39" i="1"/>
  <c r="K39" i="1" s="1"/>
  <c r="AH39" i="1"/>
  <c r="Z46" i="1"/>
  <c r="Z73" i="1"/>
  <c r="Z52" i="1"/>
  <c r="Z58" i="1"/>
  <c r="Z40" i="1"/>
  <c r="Z61" i="1"/>
  <c r="Z55" i="1"/>
  <c r="Z49" i="1"/>
  <c r="Z43" i="1"/>
  <c r="Z37" i="1"/>
  <c r="Z34" i="1"/>
  <c r="Z67" i="1"/>
  <c r="AH59" i="1"/>
  <c r="AH56" i="1"/>
  <c r="AH53" i="1"/>
  <c r="AH50" i="1"/>
  <c r="AH47" i="1"/>
  <c r="AH44" i="1"/>
  <c r="AH41" i="1"/>
  <c r="AH38" i="1"/>
  <c r="AI35" i="1"/>
  <c r="K35" i="1" s="1"/>
  <c r="AI59" i="1"/>
  <c r="K59" i="1" s="1"/>
  <c r="AI56" i="1"/>
  <c r="K56" i="1" s="1"/>
  <c r="AI53" i="1"/>
  <c r="K53" i="1" s="1"/>
  <c r="AI50" i="1"/>
  <c r="K50" i="1" s="1"/>
  <c r="AI47" i="1"/>
  <c r="K47" i="1" s="1"/>
  <c r="AI44" i="1"/>
  <c r="K44" i="1" s="1"/>
  <c r="AI41" i="1"/>
  <c r="K41" i="1" s="1"/>
  <c r="AI38" i="1"/>
  <c r="K38" i="1" s="1"/>
  <c r="AH35" i="1"/>
  <c r="AI32" i="1"/>
  <c r="K32" i="1" s="1"/>
  <c r="H92" i="1"/>
  <c r="P90" i="1"/>
  <c r="P93" i="1" s="1"/>
  <c r="H91" i="1"/>
  <c r="L90" i="1"/>
  <c r="AG74" i="1"/>
  <c r="AG72" i="1"/>
  <c r="AG69" i="1"/>
  <c r="M12" i="2"/>
  <c r="N12" i="2" s="1"/>
  <c r="L76" i="1"/>
  <c r="AM61" i="1"/>
  <c r="AL61" i="1"/>
  <c r="AG60" i="1"/>
  <c r="AM58" i="1"/>
  <c r="AL58" i="1"/>
  <c r="AG57" i="1"/>
  <c r="AM55" i="1"/>
  <c r="AL55" i="1"/>
  <c r="AM52" i="1"/>
  <c r="AL52" i="1"/>
  <c r="AG51" i="1"/>
  <c r="AM49" i="1"/>
  <c r="AL49" i="1"/>
  <c r="AG48" i="1"/>
  <c r="AM46" i="1"/>
  <c r="AL46" i="1"/>
  <c r="AG45" i="1"/>
  <c r="AM43" i="1"/>
  <c r="AL43" i="1"/>
  <c r="AM40" i="1"/>
  <c r="AL40" i="1"/>
  <c r="AM37" i="1"/>
  <c r="AL37" i="1"/>
  <c r="AM73" i="1"/>
  <c r="AL73" i="1"/>
  <c r="AG36" i="1"/>
  <c r="AT76" i="1"/>
  <c r="M17" i="2" s="1"/>
  <c r="N17" i="2" s="1"/>
  <c r="R17" i="2" s="1"/>
  <c r="M9" i="2"/>
  <c r="N9" i="2" s="1"/>
  <c r="Y76" i="1"/>
  <c r="AM34" i="1"/>
  <c r="AL34" i="1"/>
  <c r="AM64" i="1"/>
  <c r="AL64" i="1"/>
  <c r="AM67" i="1"/>
  <c r="AL67" i="1"/>
  <c r="AM70" i="1"/>
  <c r="AL70" i="1"/>
  <c r="M8" i="2"/>
  <c r="N8" i="2" s="1"/>
  <c r="AG33" i="1"/>
  <c r="AD13" i="1"/>
  <c r="Q13" i="1"/>
  <c r="AD12" i="1"/>
  <c r="AD11" i="1"/>
  <c r="R2" i="2"/>
  <c r="O2" i="2"/>
  <c r="O3" i="2" s="1"/>
  <c r="AD77" i="1" l="1"/>
  <c r="C79" i="1"/>
  <c r="AD78" i="1"/>
  <c r="M4" i="2"/>
  <c r="N4" i="2" s="1"/>
  <c r="O4" i="2" s="1"/>
  <c r="O5" i="2" s="1"/>
  <c r="R5" i="2" s="1"/>
  <c r="R77" i="1"/>
  <c r="AG39" i="1"/>
  <c r="AG63" i="1"/>
  <c r="AG59" i="1"/>
  <c r="AG54" i="1"/>
  <c r="K78" i="1"/>
  <c r="Y78" i="1" s="1"/>
  <c r="M21" i="2" s="1"/>
  <c r="N21" i="2" s="1"/>
  <c r="R21" i="2" s="1"/>
  <c r="AG62" i="1"/>
  <c r="AG71" i="1"/>
  <c r="AG35" i="1"/>
  <c r="AG44" i="1"/>
  <c r="AG47" i="1"/>
  <c r="K77" i="1"/>
  <c r="Y77" i="1" s="1"/>
  <c r="M19" i="2" s="1"/>
  <c r="N19" i="2" s="1"/>
  <c r="R19" i="2" s="1"/>
  <c r="AG38" i="1"/>
  <c r="AG50" i="1"/>
  <c r="AG56" i="1"/>
  <c r="Z76" i="1"/>
  <c r="M15" i="2" s="1"/>
  <c r="N15" i="2" s="1"/>
  <c r="AG41" i="1"/>
  <c r="AG53" i="1"/>
  <c r="AG32" i="1"/>
  <c r="R3" i="2"/>
  <c r="H90" i="1"/>
  <c r="H93" i="1" s="1"/>
  <c r="L93" i="1"/>
  <c r="AG78" i="1" l="1"/>
  <c r="AL78" i="1" s="1"/>
  <c r="R4" i="2"/>
  <c r="AF52" i="1"/>
  <c r="AO52" i="1" s="1"/>
  <c r="AR52" i="1" s="1"/>
  <c r="J54" i="1" s="1"/>
  <c r="I54" i="1" s="1"/>
  <c r="L54" i="1" s="1"/>
  <c r="AF55" i="1"/>
  <c r="AO55" i="1" s="1"/>
  <c r="AQ55" i="1" s="1"/>
  <c r="J56" i="1" s="1"/>
  <c r="I56" i="1" s="1"/>
  <c r="AF73" i="1"/>
  <c r="AO73" i="1" s="1"/>
  <c r="AQ73" i="1" s="1"/>
  <c r="J74" i="1" s="1"/>
  <c r="I74" i="1" s="1"/>
  <c r="L74" i="1" s="1"/>
  <c r="AF43" i="1"/>
  <c r="AO43" i="1" s="1"/>
  <c r="AQ43" i="1" s="1"/>
  <c r="J44" i="1" s="1"/>
  <c r="I44" i="1" s="1"/>
  <c r="AF67" i="1"/>
  <c r="AO67" i="1" s="1"/>
  <c r="AR67" i="1" s="1"/>
  <c r="J69" i="1" s="1"/>
  <c r="I69" i="1" s="1"/>
  <c r="L69" i="1" s="1"/>
  <c r="AF70" i="1"/>
  <c r="AO70" i="1" s="1"/>
  <c r="AR70" i="1" s="1"/>
  <c r="J72" i="1" s="1"/>
  <c r="I72" i="1" s="1"/>
  <c r="L72" i="1" s="1"/>
  <c r="AF58" i="1"/>
  <c r="AO58" i="1" s="1"/>
  <c r="AR58" i="1" s="1"/>
  <c r="J60" i="1" s="1"/>
  <c r="I60" i="1" s="1"/>
  <c r="L60" i="1" s="1"/>
  <c r="AF49" i="1"/>
  <c r="AO49" i="1" s="1"/>
  <c r="AQ49" i="1" s="1"/>
  <c r="J50" i="1" s="1"/>
  <c r="I50" i="1" s="1"/>
  <c r="AF40" i="1"/>
  <c r="AO40" i="1" s="1"/>
  <c r="AQ40" i="1" s="1"/>
  <c r="J41" i="1" s="1"/>
  <c r="I41" i="1" s="1"/>
  <c r="AF31" i="1"/>
  <c r="AO31" i="1" s="1"/>
  <c r="AQ31" i="1" s="1"/>
  <c r="J32" i="1" s="1"/>
  <c r="AG77" i="1"/>
  <c r="AL77" i="1" s="1"/>
  <c r="AF61" i="1"/>
  <c r="AO61" i="1" s="1"/>
  <c r="AR61" i="1" s="1"/>
  <c r="J63" i="1" s="1"/>
  <c r="I63" i="1" s="1"/>
  <c r="L63" i="1" s="1"/>
  <c r="AF37" i="1"/>
  <c r="AO37" i="1" s="1"/>
  <c r="AR37" i="1" s="1"/>
  <c r="J39" i="1" s="1"/>
  <c r="I39" i="1" s="1"/>
  <c r="L39" i="1" s="1"/>
  <c r="AF64" i="1"/>
  <c r="AO64" i="1" s="1"/>
  <c r="AR64" i="1" s="1"/>
  <c r="J66" i="1" s="1"/>
  <c r="I66" i="1" s="1"/>
  <c r="L66" i="1" s="1"/>
  <c r="AF46" i="1"/>
  <c r="AO46" i="1" s="1"/>
  <c r="AQ46" i="1" s="1"/>
  <c r="J47" i="1" s="1"/>
  <c r="I47" i="1" s="1"/>
  <c r="AF34" i="1"/>
  <c r="AO34" i="1" s="1"/>
  <c r="AR34" i="1" s="1"/>
  <c r="J36" i="1" s="1"/>
  <c r="I36" i="1" s="1"/>
  <c r="L36" i="1" s="1"/>
  <c r="AR43" i="1" l="1"/>
  <c r="J45" i="1" s="1"/>
  <c r="I45" i="1" s="1"/>
  <c r="L45" i="1" s="1"/>
  <c r="AQ58" i="1"/>
  <c r="J59" i="1" s="1"/>
  <c r="I59" i="1" s="1"/>
  <c r="L59" i="1" s="1"/>
  <c r="AR73" i="1"/>
  <c r="J75" i="1" s="1"/>
  <c r="I75" i="1" s="1"/>
  <c r="L75" i="1" s="1"/>
  <c r="AQ52" i="1"/>
  <c r="J53" i="1" s="1"/>
  <c r="I53" i="1" s="1"/>
  <c r="L53" i="1" s="1"/>
  <c r="AQ34" i="1"/>
  <c r="J35" i="1" s="1"/>
  <c r="I35" i="1" s="1"/>
  <c r="AR49" i="1"/>
  <c r="J51" i="1" s="1"/>
  <c r="I51" i="1" s="1"/>
  <c r="L51" i="1" s="1"/>
  <c r="AQ61" i="1"/>
  <c r="J62" i="1" s="1"/>
  <c r="I62" i="1" s="1"/>
  <c r="L62" i="1" s="1"/>
  <c r="AR55" i="1"/>
  <c r="J57" i="1" s="1"/>
  <c r="I57" i="1" s="1"/>
  <c r="L57" i="1" s="1"/>
  <c r="AQ37" i="1"/>
  <c r="J38" i="1" s="1"/>
  <c r="I38" i="1" s="1"/>
  <c r="L38" i="1" s="1"/>
  <c r="AQ67" i="1"/>
  <c r="J68" i="1" s="1"/>
  <c r="I68" i="1" s="1"/>
  <c r="L68" i="1" s="1"/>
  <c r="AQ64" i="1"/>
  <c r="J65" i="1" s="1"/>
  <c r="I65" i="1" s="1"/>
  <c r="L65" i="1" s="1"/>
  <c r="AR40" i="1"/>
  <c r="J42" i="1" s="1"/>
  <c r="I42" i="1" s="1"/>
  <c r="L42" i="1" s="1"/>
  <c r="AQ70" i="1"/>
  <c r="J71" i="1" s="1"/>
  <c r="I71" i="1" s="1"/>
  <c r="L71" i="1" s="1"/>
  <c r="AR31" i="1"/>
  <c r="J33" i="1" s="1"/>
  <c r="I33" i="1" s="1"/>
  <c r="AR46" i="1"/>
  <c r="J48" i="1" s="1"/>
  <c r="I48" i="1" s="1"/>
  <c r="L48" i="1" s="1"/>
  <c r="I32" i="1"/>
  <c r="L35" i="1"/>
  <c r="L41" i="1"/>
  <c r="L44" i="1"/>
  <c r="L47" i="1"/>
  <c r="L50" i="1"/>
  <c r="L56" i="1"/>
  <c r="J77" i="1" l="1"/>
  <c r="X77" i="1" s="1"/>
  <c r="M18" i="2" s="1"/>
  <c r="N18" i="2" s="1"/>
  <c r="R18" i="2" s="1"/>
  <c r="AE73" i="1"/>
  <c r="J78" i="1"/>
  <c r="X78" i="1" s="1"/>
  <c r="M20" i="2" s="1"/>
  <c r="N20" i="2" s="1"/>
  <c r="R20" i="2" s="1"/>
  <c r="AE58" i="1"/>
  <c r="AE52" i="1"/>
  <c r="AE46" i="1"/>
  <c r="AE40" i="1"/>
  <c r="AE34" i="1"/>
  <c r="AE61" i="1"/>
  <c r="AE55" i="1"/>
  <c r="AE49" i="1"/>
  <c r="AE43" i="1"/>
  <c r="AE37" i="1"/>
  <c r="I78" i="1"/>
  <c r="L33" i="1"/>
  <c r="I77" i="1"/>
  <c r="AE70" i="1"/>
  <c r="AE67" i="1"/>
  <c r="AE64" i="1"/>
  <c r="L32" i="1"/>
  <c r="AE31" i="1"/>
  <c r="M6" i="2" l="1"/>
  <c r="N6" i="2" s="1"/>
  <c r="AK77" i="1"/>
  <c r="L77" i="1"/>
  <c r="M7" i="2"/>
  <c r="N7" i="2" s="1"/>
  <c r="AK78" i="1"/>
  <c r="L78" i="1"/>
  <c r="N22" i="2" l="1"/>
  <c r="O6" i="2"/>
  <c r="O7" i="2" s="1"/>
  <c r="O8" i="2" s="1"/>
  <c r="R6" i="2" l="1"/>
  <c r="O9" i="2"/>
  <c r="R8" i="2"/>
  <c r="R7" i="2"/>
  <c r="C21" i="1"/>
  <c r="Y12" i="1"/>
  <c r="C1" i="1"/>
  <c r="O10" i="2" l="1"/>
  <c r="R10" i="2" s="1"/>
  <c r="R9" i="2"/>
  <c r="O11" i="2" l="1"/>
  <c r="O12" i="2" s="1"/>
  <c r="O13" i="2" s="1"/>
  <c r="O14" i="2" s="1"/>
  <c r="O15" i="2" s="1"/>
  <c r="R12" i="2" l="1"/>
  <c r="O16" i="2"/>
  <c r="O17" i="2" s="1"/>
  <c r="O18" i="2" s="1"/>
  <c r="O19" i="2" s="1"/>
  <c r="O20" i="2" s="1"/>
  <c r="O21" i="2" s="1"/>
  <c r="R15" i="2"/>
  <c r="M23" i="2" l="1"/>
  <c r="F21" i="1" s="1"/>
</calcChain>
</file>

<file path=xl/sharedStrings.xml><?xml version="1.0" encoding="utf-8"?>
<sst xmlns="http://schemas.openxmlformats.org/spreadsheetml/2006/main" count="398" uniqueCount="202">
  <si>
    <t xml:space="preserve">Harmonogram składania wniosków o płatność </t>
  </si>
  <si>
    <t>1. Nazwa Beneficjenta</t>
  </si>
  <si>
    <t>1a. Forma organizacyjna Beneficjenta</t>
  </si>
  <si>
    <t>1b. Projekt rozliczany stawkami ryczałtowymi</t>
  </si>
  <si>
    <t>2. Tytuł projektu</t>
  </si>
  <si>
    <t>3. Numer umowy/ Numer WND</t>
  </si>
  <si>
    <t>4. Kwota dofinansowania ogółem</t>
  </si>
  <si>
    <t>4a. W tym wydatki majątkowe</t>
  </si>
  <si>
    <t>4b. W tym dofinansowanie EFS/EFRR</t>
  </si>
  <si>
    <t>4c. W tym Budżet Państwa</t>
  </si>
  <si>
    <t>5. Kwota wkładu własnego ogółem</t>
  </si>
  <si>
    <t>6. Całkowita wartość projektu</t>
  </si>
  <si>
    <t>7a. Data rozpoczęcia realizacji projektu:</t>
  </si>
  <si>
    <t>7b. Data zakończenia realizacji projektu:</t>
  </si>
  <si>
    <t>Załącznik nr 2 do umowy: Harmonogram skladania wniosków o płatność</t>
  </si>
  <si>
    <t>8. Imię i nazwisko/ numer telefonu/ adres e-mail</t>
  </si>
  <si>
    <t>9. Okres w którym składany jest harmonogram</t>
  </si>
  <si>
    <t>nie dotyczy</t>
  </si>
  <si>
    <t>10. Data ostatniej modyfikacji</t>
  </si>
  <si>
    <t>11. Data zatwierdzenia</t>
  </si>
  <si>
    <t>Tabela finansowa</t>
  </si>
  <si>
    <t>rok</t>
  </si>
  <si>
    <t>kwartał</t>
  </si>
  <si>
    <t>miesiąc</t>
  </si>
  <si>
    <r>
      <rPr>
        <b/>
        <sz val="11"/>
        <color rgb="FF000000"/>
        <rFont val="Czcionka tekstu podstawowego"/>
        <charset val="238"/>
      </rPr>
      <t xml:space="preserve">Okres rozliczeniowy </t>
    </r>
    <r>
      <rPr>
        <b/>
        <sz val="11"/>
        <color rgb="FFFF0000"/>
        <rFont val="Czcionka tekstu podstawowego"/>
        <charset val="238"/>
      </rPr>
      <t>(EFS)</t>
    </r>
  </si>
  <si>
    <t>Wydatki wg źródeł</t>
  </si>
  <si>
    <r>
      <rPr>
        <b/>
        <sz val="11"/>
        <color rgb="FF000000"/>
        <rFont val="Czcionka tekstu podstawowego"/>
        <charset val="238"/>
      </rPr>
      <t xml:space="preserve">Część A - WNIOSKI O PŁATNOŚĆ ZALICZKOWĄ: Planowana kwota zaliczek (oraz kwota udzielonych zaliczek)                           </t>
    </r>
    <r>
      <rPr>
        <b/>
        <sz val="14"/>
        <color rgb="FF000000"/>
        <rFont val="Czcionka tekstu podstawowego"/>
        <charset val="238"/>
      </rPr>
      <t xml:space="preserve"> </t>
    </r>
    <r>
      <rPr>
        <b/>
        <sz val="14"/>
        <color rgb="FFFF0000"/>
        <rFont val="Czcionka tekstu podstawowego"/>
        <charset val="238"/>
      </rPr>
      <t>EFS/EFRR</t>
    </r>
  </si>
  <si>
    <r>
      <rPr>
        <b/>
        <sz val="11"/>
        <color rgb="FF000000"/>
        <rFont val="Czcionka tekstu podstawowego"/>
        <charset val="238"/>
      </rPr>
      <t xml:space="preserve">Część B - WNIOSKI ROZLICZAJĄCE </t>
    </r>
    <r>
      <rPr>
        <b/>
        <sz val="18"/>
        <color rgb="FFFF0000"/>
        <rFont val="Czcionka tekstu podstawowego"/>
        <charset val="238"/>
      </rPr>
      <t>(EFS)</t>
    </r>
  </si>
  <si>
    <r>
      <rPr>
        <b/>
        <sz val="11"/>
        <color rgb="FF000000"/>
        <rFont val="Czcionka tekstu podstawowego"/>
        <charset val="238"/>
      </rPr>
      <t xml:space="preserve">Część C - WNIOSKI REFUNDACYJNE </t>
    </r>
    <r>
      <rPr>
        <b/>
        <sz val="11"/>
        <color rgb="FFFF0000"/>
        <rFont val="Czcionka tekstu podstawowego"/>
        <charset val="238"/>
      </rPr>
      <t xml:space="preserve">(POŚREDNIE I KOŃCOWE) </t>
    </r>
    <r>
      <rPr>
        <b/>
        <sz val="20"/>
        <color rgb="FFFF0000"/>
        <rFont val="Czcionka tekstu podstawowego"/>
        <charset val="238"/>
      </rPr>
      <t>EFRR</t>
    </r>
  </si>
  <si>
    <t>od</t>
  </si>
  <si>
    <t>do</t>
  </si>
  <si>
    <t>Ogółem</t>
  </si>
  <si>
    <t>Wydatki bieżące</t>
  </si>
  <si>
    <t>Wydatki majątkowe</t>
  </si>
  <si>
    <t xml:space="preserve">% płatności zaliczkowej wg źródeł </t>
  </si>
  <si>
    <t>Wkład własny</t>
  </si>
  <si>
    <t>% rozliczenia</t>
  </si>
  <si>
    <t xml:space="preserve">% płatności refundacyjnej wg źródeł </t>
  </si>
  <si>
    <t>udział % EFS/EFRR</t>
  </si>
  <si>
    <t>udział % EFS</t>
  </si>
  <si>
    <t>udział % EFRR</t>
  </si>
  <si>
    <t>udział % Budżetu Państwa</t>
  </si>
  <si>
    <t>końiec roku =JEŻELI(CZY.BŁĄD(AA31-AB31);"";AA31-AB31)</t>
  </si>
  <si>
    <t>efs</t>
  </si>
  <si>
    <t>bp</t>
  </si>
  <si>
    <t>3m</t>
  </si>
  <si>
    <t>ost&lt;&gt;0</t>
  </si>
  <si>
    <t xml:space="preserve">Razem wydatki </t>
  </si>
  <si>
    <t>EFS/EFRR</t>
  </si>
  <si>
    <t>pole puste nieaktywne</t>
  </si>
  <si>
    <t>Budżet Państwa</t>
  </si>
  <si>
    <t>suma części A Razem wydatki</t>
  </si>
  <si>
    <t>suma części B Razem wydatki</t>
  </si>
  <si>
    <t>suma części C Razem wydatki</t>
  </si>
  <si>
    <t>EFS</t>
  </si>
  <si>
    <t>EFRR</t>
  </si>
  <si>
    <t xml:space="preserve">Budżet państwa </t>
  </si>
  <si>
    <t>Tabela oszczędności i nieprawidłowości</t>
  </si>
  <si>
    <t>OGÓŁEM</t>
  </si>
  <si>
    <t xml:space="preserve">OSZCZĘDNOŚCI </t>
  </si>
  <si>
    <t>Wartość razem</t>
  </si>
  <si>
    <t xml:space="preserve">EFS </t>
  </si>
  <si>
    <t>NIEPRAWIDŁOWOŚCI</t>
  </si>
  <si>
    <t>WYDATKI OGÓŁEM</t>
  </si>
  <si>
    <t>SUMA OGÓŁEM</t>
  </si>
  <si>
    <t xml:space="preserve">UWAGI INSTYTUCJI </t>
  </si>
  <si>
    <t>UWAGI BENEFICJENTA</t>
  </si>
  <si>
    <t>forma organizacyjna beneficjenta</t>
  </si>
  <si>
    <t>kwartaly</t>
  </si>
  <si>
    <t>miesiące</t>
  </si>
  <si>
    <t>błędy</t>
  </si>
  <si>
    <t>I</t>
  </si>
  <si>
    <t>styczeń 2014</t>
  </si>
  <si>
    <t>(</t>
  </si>
  <si>
    <t>)</t>
  </si>
  <si>
    <t>II</t>
  </si>
  <si>
    <t>luty 2014</t>
  </si>
  <si>
    <t>III</t>
  </si>
  <si>
    <t>marzec 2014</t>
  </si>
  <si>
    <t>IV</t>
  </si>
  <si>
    <t>kwiecień 2014</t>
  </si>
  <si>
    <t>maj 2014</t>
  </si>
  <si>
    <t>czerwiec 2014</t>
  </si>
  <si>
    <t>lipiec 2014</t>
  </si>
  <si>
    <t>sierpień 2014</t>
  </si>
  <si>
    <t>wrzesień 2014</t>
  </si>
  <si>
    <t>październik 2014</t>
  </si>
  <si>
    <t>listopad 2014</t>
  </si>
  <si>
    <t>grudzień 2014</t>
  </si>
  <si>
    <t>styczeń 2015</t>
  </si>
  <si>
    <t>luty 2015</t>
  </si>
  <si>
    <t>marzec 2015</t>
  </si>
  <si>
    <t>kwiecień 2015</t>
  </si>
  <si>
    <t>maj 2015</t>
  </si>
  <si>
    <t>czerwiec 2015</t>
  </si>
  <si>
    <t>lipiec 2015</t>
  </si>
  <si>
    <t>sierpień 2015</t>
  </si>
  <si>
    <t>wrzesień 2015</t>
  </si>
  <si>
    <t>październik 2015</t>
  </si>
  <si>
    <t>listopad 2015</t>
  </si>
  <si>
    <t>grudzień 2015</t>
  </si>
  <si>
    <t>styczeń 2016</t>
  </si>
  <si>
    <t>luty 2016</t>
  </si>
  <si>
    <t>marzec 2016</t>
  </si>
  <si>
    <t>kwiecień 2016</t>
  </si>
  <si>
    <t>maj 2016</t>
  </si>
  <si>
    <t>czerwiec 2016</t>
  </si>
  <si>
    <t>lipiec 2016</t>
  </si>
  <si>
    <t>sierpień 2016</t>
  </si>
  <si>
    <t>wrzesień 2016</t>
  </si>
  <si>
    <t>październik 2016</t>
  </si>
  <si>
    <t>listopad 2016</t>
  </si>
  <si>
    <t>grudzień 2016</t>
  </si>
  <si>
    <t>styczeń 2017</t>
  </si>
  <si>
    <t>luty 2017</t>
  </si>
  <si>
    <t>marzec 2017</t>
  </si>
  <si>
    <t>kwiecień 2017</t>
  </si>
  <si>
    <t>maj 2017</t>
  </si>
  <si>
    <t>czerwiec 2017</t>
  </si>
  <si>
    <t>lipiec 2017</t>
  </si>
  <si>
    <t>sierpień 2017</t>
  </si>
  <si>
    <t>wrzesień 2017</t>
  </si>
  <si>
    <t>październik 2017</t>
  </si>
  <si>
    <t>listopad 2017</t>
  </si>
  <si>
    <t>grudzień 2017</t>
  </si>
  <si>
    <t>styczeń 2018</t>
  </si>
  <si>
    <t>luty 2018</t>
  </si>
  <si>
    <t>marzec 2018</t>
  </si>
  <si>
    <t>kwiecień 2018</t>
  </si>
  <si>
    <t>maj 2018</t>
  </si>
  <si>
    <t>czerwiec 2018</t>
  </si>
  <si>
    <t>lipiec 2018</t>
  </si>
  <si>
    <t>sierpień 2018</t>
  </si>
  <si>
    <t>wrzesień 2018</t>
  </si>
  <si>
    <t>październik 2018</t>
  </si>
  <si>
    <t>listopad 2018</t>
  </si>
  <si>
    <t>grudzień 2018</t>
  </si>
  <si>
    <t>styczeń 2019</t>
  </si>
  <si>
    <t>luty 2019</t>
  </si>
  <si>
    <t>marzec 2019</t>
  </si>
  <si>
    <t>kwiecień 2019</t>
  </si>
  <si>
    <t>maj 2019</t>
  </si>
  <si>
    <t>czerwiec 2019</t>
  </si>
  <si>
    <t>lipiec 2019</t>
  </si>
  <si>
    <t>sierpień 2019</t>
  </si>
  <si>
    <t>wrzesień 2019</t>
  </si>
  <si>
    <t>październik 2019</t>
  </si>
  <si>
    <t>listopad 2019</t>
  </si>
  <si>
    <t>grudzień 2019</t>
  </si>
  <si>
    <t>styczeń 2020</t>
  </si>
  <si>
    <t>luty 2020</t>
  </si>
  <si>
    <t>marzec 2020</t>
  </si>
  <si>
    <t>kwiecień 2020</t>
  </si>
  <si>
    <t>maj 2020</t>
  </si>
  <si>
    <t>czerwiec 2020</t>
  </si>
  <si>
    <t>lipiec 2020</t>
  </si>
  <si>
    <t>sierpień 2020</t>
  </si>
  <si>
    <t>wrzesień 2020</t>
  </si>
  <si>
    <t>październik 2020</t>
  </si>
  <si>
    <t>listopad 2020</t>
  </si>
  <si>
    <t>grudzień 2020</t>
  </si>
  <si>
    <t>styczeń 2021</t>
  </si>
  <si>
    <t>luty 2021</t>
  </si>
  <si>
    <t>marzec 2021</t>
  </si>
  <si>
    <t>kwiecień 2021</t>
  </si>
  <si>
    <t>maj 2021</t>
  </si>
  <si>
    <t>czerwiec 2021</t>
  </si>
  <si>
    <t>lipiec 2021</t>
  </si>
  <si>
    <t>sierpień 2021</t>
  </si>
  <si>
    <t>wrzesień 2021</t>
  </si>
  <si>
    <t>październik 2021</t>
  </si>
  <si>
    <t>listopad 2021</t>
  </si>
  <si>
    <t>grudzień 2021</t>
  </si>
  <si>
    <t>styczeń 2022</t>
  </si>
  <si>
    <t>luty 2022</t>
  </si>
  <si>
    <t>marzec 2022</t>
  </si>
  <si>
    <t>kwiecień 2022</t>
  </si>
  <si>
    <t>maj 2022</t>
  </si>
  <si>
    <t>czerwiec 2022</t>
  </si>
  <si>
    <t>lipiec 2022</t>
  </si>
  <si>
    <t>sierpień 2022</t>
  </si>
  <si>
    <t>wrzesień 2022</t>
  </si>
  <si>
    <t>październik 2022</t>
  </si>
  <si>
    <t>listopad 2022</t>
  </si>
  <si>
    <t>grudzień 2022</t>
  </si>
  <si>
    <t>styczeń 2023</t>
  </si>
  <si>
    <t>luty 2023</t>
  </si>
  <si>
    <t>marzec 2023</t>
  </si>
  <si>
    <t>kwiecień 2023</t>
  </si>
  <si>
    <t>maj 2023</t>
  </si>
  <si>
    <t>czerwiec 2023</t>
  </si>
  <si>
    <t>lipiec 2023</t>
  </si>
  <si>
    <t>sierpień 2023</t>
  </si>
  <si>
    <t>wrzesień 2023</t>
  </si>
  <si>
    <t>październik 2023</t>
  </si>
  <si>
    <t>listopad 2023</t>
  </si>
  <si>
    <t>grudzień 2023</t>
  </si>
  <si>
    <t>nie</t>
  </si>
  <si>
    <t>jednostka sektora finansów publicznych</t>
  </si>
  <si>
    <t>Współpraca się opłaca - koordynacja sektora ekonomii społecznej w województwie śląskim</t>
  </si>
  <si>
    <t>Województwo Śląskie</t>
  </si>
  <si>
    <t>WND-RPSL.09.03.02-24-0C10/20-003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</si>
</sst>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 zł&quot;_-;\-* #,##0.00&quot; zł&quot;_-;_-* \-??&quot; zł&quot;_-;_-@_-"/>
    <numFmt numFmtId="165" formatCode="#,##0.00&quot; zł&quot;"/>
    <numFmt numFmtId="166" formatCode="yyyy\-mm\-dd"/>
    <numFmt numFmtId="167" formatCode="mmmm\ yyyy"/>
  </numFmts>
  <fonts count="35">
    <font>
      <sz val="11"/>
      <color rgb="FF000000"/>
      <name val="Czcionka tekstu podstawowego"/>
      <family val="2"/>
      <charset val="238"/>
    </font>
    <font>
      <sz val="14"/>
      <color rgb="FF000000"/>
      <name val="Czcionka tekstu podstawowego"/>
      <family val="2"/>
      <charset val="238"/>
    </font>
    <font>
      <b/>
      <sz val="24"/>
      <color rgb="FFFF0000"/>
      <name val="Czcionka tekstu podstawowego"/>
      <charset val="238"/>
    </font>
    <font>
      <sz val="14"/>
      <color rgb="FF000000"/>
      <name val="Czcionka tekstu podstawowego"/>
      <charset val="238"/>
    </font>
    <font>
      <sz val="16"/>
      <color rgb="FF000000"/>
      <name val="Czcionka tekstu podstawowego"/>
      <charset val="238"/>
    </font>
    <font>
      <sz val="14"/>
      <color rgb="FFFF0000"/>
      <name val="Czcionka tekstu podstawowego"/>
      <charset val="238"/>
    </font>
    <font>
      <sz val="16"/>
      <color rgb="FFFF0000"/>
      <name val="Czcionka tekstu podstawowego"/>
      <charset val="238"/>
    </font>
    <font>
      <b/>
      <sz val="16"/>
      <color rgb="FF000000"/>
      <name val="Czcionka tekstu podstawowego"/>
      <charset val="238"/>
    </font>
    <font>
      <b/>
      <sz val="16"/>
      <color rgb="FF008000"/>
      <name val="Czcionka tekstu podstawowego"/>
      <charset val="238"/>
    </font>
    <font>
      <b/>
      <sz val="11"/>
      <color rgb="FFFF0000"/>
      <name val="Czcionka tekstu podstawowego"/>
      <charset val="238"/>
    </font>
    <font>
      <b/>
      <sz val="12"/>
      <color rgb="FFFF0000"/>
      <name val="Czcionka tekstu podstawowego"/>
      <charset val="238"/>
    </font>
    <font>
      <b/>
      <sz val="11"/>
      <color rgb="FF000000"/>
      <name val="Czcionka tekstu podstawowego"/>
      <charset val="238"/>
    </font>
    <font>
      <b/>
      <sz val="14"/>
      <color rgb="FF000000"/>
      <name val="Czcionka tekstu podstawowego"/>
      <charset val="238"/>
    </font>
    <font>
      <b/>
      <sz val="14"/>
      <color rgb="FFFF0000"/>
      <name val="Czcionka tekstu podstawowego"/>
      <charset val="238"/>
    </font>
    <font>
      <b/>
      <sz val="18"/>
      <color rgb="FFFF0000"/>
      <name val="Czcionka tekstu podstawowego"/>
      <charset val="238"/>
    </font>
    <font>
      <b/>
      <sz val="20"/>
      <color rgb="FFFF0000"/>
      <name val="Czcionka tekstu podstawowego"/>
      <charset val="238"/>
    </font>
    <font>
      <sz val="11"/>
      <color rgb="FF000000"/>
      <name val="Czcionka tekstu podstawowego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9"/>
      <color rgb="FFFF0000"/>
      <name val="Calibri"/>
      <family val="2"/>
      <charset val="238"/>
    </font>
    <font>
      <b/>
      <sz val="11"/>
      <color rgb="FF0066CC"/>
      <name val="Czcionka tekstu podstawowego"/>
      <charset val="238"/>
    </font>
    <font>
      <b/>
      <sz val="11"/>
      <name val="Czcionka tekstu podstawowego"/>
      <charset val="238"/>
    </font>
    <font>
      <b/>
      <sz val="12"/>
      <color rgb="FFFF0000"/>
      <name val="Calibri"/>
      <family val="2"/>
      <charset val="238"/>
    </font>
    <font>
      <b/>
      <sz val="12"/>
      <color rgb="FF000000"/>
      <name val="Czcionka tekstu podstawowego"/>
      <charset val="238"/>
    </font>
    <font>
      <sz val="12"/>
      <color rgb="FF000000"/>
      <name val="Czcionka tekstu podstawowego"/>
      <family val="2"/>
      <charset val="238"/>
    </font>
    <font>
      <b/>
      <sz val="14"/>
      <color rgb="FF000000"/>
      <name val="Calibri"/>
      <family val="2"/>
      <charset val="238"/>
    </font>
    <font>
      <sz val="12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8"/>
      <color rgb="FF000000"/>
      <name val="Czcionka tekstu podstawowego"/>
      <family val="2"/>
      <charset val="238"/>
    </font>
    <font>
      <sz val="11"/>
      <color rgb="FF000000"/>
      <name val="Czcionka tekstu podstawowego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D9D9D9"/>
      </patternFill>
    </fill>
    <fill>
      <patternFill patternType="solid">
        <fgColor rgb="FFFFFF99"/>
        <bgColor rgb="FFFFFFCC"/>
      </patternFill>
    </fill>
    <fill>
      <patternFill patternType="solid">
        <fgColor rgb="FF000000"/>
        <bgColor rgb="FF0033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4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164" fontId="34" fillId="0" borderId="0" applyBorder="0" applyProtection="0"/>
    <xf numFmtId="9" fontId="34" fillId="0" borderId="0" applyBorder="0" applyProtection="0"/>
  </cellStyleXfs>
  <cellXfs count="15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10" fontId="8" fillId="0" borderId="7" xfId="0" applyNumberFormat="1" applyFont="1" applyBorder="1" applyAlignment="1" applyProtection="1">
      <alignment horizontal="center" vertical="center" wrapText="1"/>
      <protection hidden="1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0" fillId="0" borderId="0" xfId="0" applyFont="1" applyProtection="1"/>
    <xf numFmtId="0" fontId="0" fillId="0" borderId="3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center" vertical="center" wrapText="1"/>
    </xf>
    <xf numFmtId="9" fontId="0" fillId="0" borderId="0" xfId="0" applyNumberFormat="1"/>
    <xf numFmtId="0" fontId="0" fillId="0" borderId="11" xfId="0" applyBorder="1" applyAlignment="1" applyProtection="1">
      <alignment horizontal="center" vertical="center"/>
    </xf>
    <xf numFmtId="0" fontId="16" fillId="0" borderId="4" xfId="0" applyFont="1" applyBorder="1" applyAlignment="1" applyProtection="1">
      <alignment horizontal="center" vertical="center"/>
    </xf>
    <xf numFmtId="0" fontId="16" fillId="0" borderId="12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horizontal="center" vertical="center" wrapText="1"/>
    </xf>
    <xf numFmtId="0" fontId="16" fillId="0" borderId="3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0" fillId="2" borderId="5" xfId="0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19" fillId="3" borderId="4" xfId="0" applyFont="1" applyFill="1" applyBorder="1" applyAlignment="1" applyProtection="1">
      <alignment horizontal="center" vertical="center" wrapText="1"/>
    </xf>
    <xf numFmtId="165" fontId="20" fillId="2" borderId="14" xfId="0" applyNumberFormat="1" applyFont="1" applyFill="1" applyBorder="1" applyAlignment="1" applyProtection="1">
      <alignment horizontal="center" vertical="center" wrapText="1"/>
      <protection hidden="1"/>
    </xf>
    <xf numFmtId="165" fontId="20" fillId="0" borderId="15" xfId="0" applyNumberFormat="1" applyFont="1" applyBorder="1" applyAlignment="1" applyProtection="1">
      <alignment horizontal="center" vertical="center" wrapText="1"/>
      <protection locked="0"/>
    </xf>
    <xf numFmtId="10" fontId="20" fillId="2" borderId="16" xfId="0" applyNumberFormat="1" applyFont="1" applyFill="1" applyBorder="1" applyAlignment="1" applyProtection="1">
      <alignment horizontal="center" vertical="center" wrapText="1"/>
      <protection hidden="1"/>
    </xf>
    <xf numFmtId="0" fontId="19" fillId="3" borderId="11" xfId="0" applyFont="1" applyFill="1" applyBorder="1" applyAlignment="1" applyProtection="1">
      <alignment horizontal="center" vertical="center" wrapText="1"/>
    </xf>
    <xf numFmtId="165" fontId="20" fillId="2" borderId="17" xfId="0" applyNumberFormat="1" applyFont="1" applyFill="1" applyBorder="1" applyAlignment="1" applyProtection="1">
      <alignment horizontal="center" vertical="center" wrapText="1"/>
      <protection hidden="1"/>
    </xf>
    <xf numFmtId="0" fontId="20" fillId="2" borderId="16" xfId="0" applyFont="1" applyFill="1" applyBorder="1" applyAlignment="1" applyProtection="1">
      <alignment horizontal="center" vertical="center" wrapText="1"/>
      <protection hidden="1"/>
    </xf>
    <xf numFmtId="0" fontId="19" fillId="3" borderId="18" xfId="0" applyFont="1" applyFill="1" applyBorder="1" applyAlignment="1" applyProtection="1">
      <alignment horizontal="center" vertical="center" wrapText="1"/>
    </xf>
    <xf numFmtId="165" fontId="21" fillId="2" borderId="14" xfId="0" applyNumberFormat="1" applyFont="1" applyFill="1" applyBorder="1" applyAlignment="1" applyProtection="1">
      <alignment horizontal="center" vertical="center" wrapText="1"/>
    </xf>
    <xf numFmtId="165" fontId="21" fillId="2" borderId="15" xfId="0" applyNumberFormat="1" applyFont="1" applyFill="1" applyBorder="1" applyAlignment="1" applyProtection="1">
      <alignment horizontal="center" vertical="center" wrapText="1"/>
    </xf>
    <xf numFmtId="0" fontId="21" fillId="2" borderId="16" xfId="0" applyFont="1" applyFill="1" applyBorder="1" applyAlignment="1" applyProtection="1">
      <alignment horizontal="center" vertical="center" wrapText="1"/>
    </xf>
    <xf numFmtId="0" fontId="0" fillId="0" borderId="0" xfId="0"/>
    <xf numFmtId="165" fontId="20" fillId="2" borderId="19" xfId="0" applyNumberFormat="1" applyFont="1" applyFill="1" applyBorder="1" applyAlignment="1" applyProtection="1">
      <alignment horizontal="center" vertical="center" wrapText="1"/>
      <protection hidden="1"/>
    </xf>
    <xf numFmtId="165" fontId="20" fillId="2" borderId="20" xfId="0" applyNumberFormat="1" applyFont="1" applyFill="1" applyBorder="1" applyAlignment="1" applyProtection="1">
      <alignment horizontal="center" vertical="center" wrapText="1"/>
      <protection hidden="1"/>
    </xf>
    <xf numFmtId="10" fontId="20" fillId="2" borderId="21" xfId="0" applyNumberFormat="1" applyFont="1" applyFill="1" applyBorder="1" applyAlignment="1" applyProtection="1">
      <alignment horizontal="center" vertical="center" wrapText="1"/>
      <protection hidden="1"/>
    </xf>
    <xf numFmtId="165" fontId="20" fillId="0" borderId="20" xfId="0" applyNumberFormat="1" applyFont="1" applyBorder="1" applyAlignment="1" applyProtection="1">
      <alignment horizontal="center" vertical="center" wrapText="1"/>
      <protection locked="0"/>
    </xf>
    <xf numFmtId="4" fontId="21" fillId="4" borderId="20" xfId="0" applyNumberFormat="1" applyFont="1" applyFill="1" applyBorder="1" applyAlignment="1" applyProtection="1">
      <alignment horizontal="center" vertical="center" wrapText="1"/>
      <protection locked="0" hidden="1"/>
    </xf>
    <xf numFmtId="0" fontId="19" fillId="3" borderId="22" xfId="0" applyFont="1" applyFill="1" applyBorder="1" applyAlignment="1" applyProtection="1">
      <alignment horizontal="center" vertical="center" wrapText="1"/>
    </xf>
    <xf numFmtId="165" fontId="21" fillId="2" borderId="19" xfId="0" applyNumberFormat="1" applyFont="1" applyFill="1" applyBorder="1" applyAlignment="1" applyProtection="1">
      <alignment horizontal="center" vertical="center" wrapText="1"/>
    </xf>
    <xf numFmtId="165" fontId="21" fillId="2" borderId="20" xfId="0" applyNumberFormat="1" applyFont="1" applyFill="1" applyBorder="1" applyAlignment="1" applyProtection="1">
      <alignment horizontal="center" vertical="center" wrapText="1"/>
    </xf>
    <xf numFmtId="10" fontId="21" fillId="2" borderId="21" xfId="0" applyNumberFormat="1" applyFont="1" applyFill="1" applyBorder="1" applyAlignment="1" applyProtection="1">
      <alignment horizontal="center" vertical="center" wrapText="1"/>
    </xf>
    <xf numFmtId="0" fontId="19" fillId="3" borderId="3" xfId="0" applyFont="1" applyFill="1" applyBorder="1" applyAlignment="1" applyProtection="1">
      <alignment horizontal="center" vertical="center" wrapText="1"/>
    </xf>
    <xf numFmtId="165" fontId="20" fillId="2" borderId="23" xfId="0" applyNumberFormat="1" applyFont="1" applyFill="1" applyBorder="1" applyAlignment="1" applyProtection="1">
      <alignment horizontal="center" vertical="center" wrapText="1"/>
      <protection hidden="1"/>
    </xf>
    <xf numFmtId="165" fontId="20" fillId="2" borderId="24" xfId="0" applyNumberFormat="1" applyFont="1" applyFill="1" applyBorder="1" applyAlignment="1" applyProtection="1">
      <alignment horizontal="center" vertical="center" wrapText="1"/>
      <protection hidden="1"/>
    </xf>
    <xf numFmtId="165" fontId="20" fillId="2" borderId="25" xfId="0" applyNumberFormat="1" applyFont="1" applyFill="1" applyBorder="1" applyAlignment="1" applyProtection="1">
      <alignment horizontal="center" vertical="center" wrapText="1"/>
      <protection hidden="1"/>
    </xf>
    <xf numFmtId="4" fontId="21" fillId="4" borderId="26" xfId="0" applyNumberFormat="1" applyFont="1" applyFill="1" applyBorder="1" applyAlignment="1" applyProtection="1">
      <alignment horizontal="center" vertical="center" wrapText="1"/>
      <protection locked="0" hidden="1"/>
    </xf>
    <xf numFmtId="0" fontId="19" fillId="3" borderId="6" xfId="0" applyFont="1" applyFill="1" applyBorder="1" applyAlignment="1" applyProtection="1">
      <alignment horizontal="center" vertical="center" wrapText="1"/>
    </xf>
    <xf numFmtId="10" fontId="20" fillId="2" borderId="16" xfId="2" applyNumberFormat="1" applyFont="1" applyFill="1" applyBorder="1" applyAlignment="1" applyProtection="1">
      <alignment horizontal="center" vertical="center" wrapText="1"/>
      <protection hidden="1"/>
    </xf>
    <xf numFmtId="4" fontId="21" fillId="4" borderId="27" xfId="0" applyNumberFormat="1" applyFont="1" applyFill="1" applyBorder="1" applyAlignment="1" applyProtection="1">
      <alignment horizontal="center" vertical="center" wrapText="1"/>
      <protection locked="0" hidden="1"/>
    </xf>
    <xf numFmtId="165" fontId="21" fillId="4" borderId="20" xfId="0" applyNumberFormat="1" applyFont="1" applyFill="1" applyBorder="1" applyAlignment="1" applyProtection="1">
      <alignment horizontal="center" vertical="center" wrapText="1"/>
      <protection locked="0" hidden="1"/>
    </xf>
    <xf numFmtId="165" fontId="20" fillId="2" borderId="17" xfId="0" applyNumberFormat="1" applyFont="1" applyFill="1" applyBorder="1" applyAlignment="1" applyProtection="1">
      <alignment horizontal="center" vertical="center" wrapText="1"/>
      <protection locked="0" hidden="1"/>
    </xf>
    <xf numFmtId="4" fontId="21" fillId="4" borderId="28" xfId="0" applyNumberFormat="1" applyFont="1" applyFill="1" applyBorder="1" applyAlignment="1" applyProtection="1">
      <alignment horizontal="center" vertical="center" wrapText="1"/>
      <protection locked="0" hidden="1"/>
    </xf>
    <xf numFmtId="4" fontId="21" fillId="4" borderId="29" xfId="0" applyNumberFormat="1" applyFont="1" applyFill="1" applyBorder="1" applyAlignment="1" applyProtection="1">
      <alignment horizontal="center" vertical="center" wrapText="1"/>
      <protection locked="0" hidden="1"/>
    </xf>
    <xf numFmtId="165" fontId="21" fillId="2" borderId="25" xfId="0" applyNumberFormat="1" applyFont="1" applyFill="1" applyBorder="1" applyAlignment="1" applyProtection="1">
      <alignment horizontal="center" vertical="center" wrapText="1"/>
    </xf>
    <xf numFmtId="165" fontId="21" fillId="2" borderId="26" xfId="0" applyNumberFormat="1" applyFont="1" applyFill="1" applyBorder="1" applyAlignment="1" applyProtection="1">
      <alignment horizontal="center" vertical="center" wrapText="1"/>
    </xf>
    <xf numFmtId="10" fontId="21" fillId="2" borderId="30" xfId="0" applyNumberFormat="1" applyFont="1" applyFill="1" applyBorder="1" applyAlignment="1" applyProtection="1">
      <alignment horizontal="center" vertical="center" wrapText="1"/>
    </xf>
    <xf numFmtId="0" fontId="0" fillId="0" borderId="31" xfId="0" applyBorder="1" applyProtection="1">
      <protection locked="0"/>
    </xf>
    <xf numFmtId="0" fontId="22" fillId="3" borderId="4" xfId="0" applyFont="1" applyFill="1" applyBorder="1" applyAlignment="1" applyProtection="1">
      <alignment horizontal="center" vertical="center" wrapText="1"/>
    </xf>
    <xf numFmtId="165" fontId="23" fillId="2" borderId="32" xfId="0" applyNumberFormat="1" applyFont="1" applyFill="1" applyBorder="1" applyAlignment="1" applyProtection="1">
      <alignment horizontal="center" vertical="center" wrapText="1"/>
      <protection hidden="1"/>
    </xf>
    <xf numFmtId="165" fontId="23" fillId="2" borderId="17" xfId="0" applyNumberFormat="1" applyFont="1" applyFill="1" applyBorder="1" applyAlignment="1" applyProtection="1">
      <alignment horizontal="center" vertical="center" wrapText="1"/>
      <protection hidden="1"/>
    </xf>
    <xf numFmtId="10" fontId="23" fillId="2" borderId="33" xfId="0" applyNumberFormat="1" applyFont="1" applyFill="1" applyBorder="1" applyAlignment="1" applyProtection="1">
      <alignment horizontal="center" vertical="center" wrapText="1"/>
      <protection hidden="1"/>
    </xf>
    <xf numFmtId="165" fontId="24" fillId="2" borderId="32" xfId="0" applyNumberFormat="1" applyFont="1" applyFill="1" applyBorder="1" applyAlignment="1" applyProtection="1">
      <alignment horizontal="center" vertical="center" wrapText="1"/>
    </xf>
    <xf numFmtId="165" fontId="24" fillId="2" borderId="17" xfId="0" applyNumberFormat="1" applyFont="1" applyFill="1" applyBorder="1" applyAlignment="1" applyProtection="1">
      <alignment horizontal="center" vertical="center" wrapText="1"/>
    </xf>
    <xf numFmtId="10" fontId="24" fillId="2" borderId="34" xfId="0" applyNumberFormat="1" applyFont="1" applyFill="1" applyBorder="1" applyAlignment="1" applyProtection="1">
      <alignment horizontal="center" vertical="center" wrapText="1"/>
    </xf>
    <xf numFmtId="0" fontId="22" fillId="3" borderId="22" xfId="0" applyFont="1" applyFill="1" applyBorder="1" applyAlignment="1" applyProtection="1">
      <alignment horizontal="center" vertical="center" wrapText="1"/>
    </xf>
    <xf numFmtId="0" fontId="23" fillId="4" borderId="20" xfId="0" applyFont="1" applyFill="1" applyBorder="1" applyAlignment="1" applyProtection="1">
      <alignment horizontal="center" vertical="center" wrapText="1"/>
      <protection hidden="1"/>
    </xf>
    <xf numFmtId="0" fontId="22" fillId="3" borderId="35" xfId="0" applyFont="1" applyFill="1" applyBorder="1" applyAlignment="1" applyProtection="1">
      <alignment horizontal="center" vertical="center" wrapText="1"/>
    </xf>
    <xf numFmtId="10" fontId="24" fillId="2" borderId="36" xfId="0" applyNumberFormat="1" applyFont="1" applyFill="1" applyBorder="1" applyAlignment="1" applyProtection="1">
      <alignment horizontal="center" vertical="center" wrapText="1"/>
    </xf>
    <xf numFmtId="0" fontId="22" fillId="3" borderId="37" xfId="0" applyFont="1" applyFill="1" applyBorder="1" applyAlignment="1" applyProtection="1">
      <alignment horizontal="center" vertical="center" wrapText="1"/>
    </xf>
    <xf numFmtId="165" fontId="23" fillId="2" borderId="38" xfId="0" applyNumberFormat="1" applyFont="1" applyFill="1" applyBorder="1" applyAlignment="1" applyProtection="1">
      <alignment horizontal="center" vertical="center" wrapText="1"/>
      <protection hidden="1"/>
    </xf>
    <xf numFmtId="165" fontId="23" fillId="2" borderId="2" xfId="0" applyNumberFormat="1" applyFont="1" applyFill="1" applyBorder="1" applyAlignment="1" applyProtection="1">
      <alignment horizontal="center" vertical="center" wrapText="1"/>
      <protection hidden="1"/>
    </xf>
    <xf numFmtId="10" fontId="23" fillId="2" borderId="39" xfId="0" applyNumberFormat="1" applyFont="1" applyFill="1" applyBorder="1" applyAlignment="1" applyProtection="1">
      <alignment horizontal="center" vertical="center" wrapText="1"/>
      <protection hidden="1"/>
    </xf>
    <xf numFmtId="0" fontId="23" fillId="4" borderId="26" xfId="0" applyFont="1" applyFill="1" applyBorder="1" applyAlignment="1" applyProtection="1">
      <alignment horizontal="center" vertical="center" wrapText="1"/>
      <protection hidden="1"/>
    </xf>
    <xf numFmtId="10" fontId="23" fillId="2" borderId="40" xfId="0" applyNumberFormat="1" applyFont="1" applyFill="1" applyBorder="1" applyAlignment="1" applyProtection="1">
      <alignment horizontal="center" vertical="center" wrapText="1"/>
      <protection hidden="1"/>
    </xf>
    <xf numFmtId="165" fontId="24" fillId="2" borderId="38" xfId="0" applyNumberFormat="1" applyFont="1" applyFill="1" applyBorder="1" applyAlignment="1" applyProtection="1">
      <alignment horizontal="center" vertical="center" wrapText="1"/>
    </xf>
    <xf numFmtId="165" fontId="24" fillId="2" borderId="2" xfId="0" applyNumberFormat="1" applyFont="1" applyFill="1" applyBorder="1" applyAlignment="1" applyProtection="1">
      <alignment horizontal="center" vertical="center" wrapText="1"/>
    </xf>
    <xf numFmtId="10" fontId="24" fillId="2" borderId="4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center" vertical="center" wrapText="1"/>
    </xf>
    <xf numFmtId="164" fontId="29" fillId="4" borderId="7" xfId="1" applyFont="1" applyFill="1" applyBorder="1" applyAlignment="1" applyProtection="1"/>
    <xf numFmtId="164" fontId="29" fillId="4" borderId="10" xfId="1" applyFont="1" applyFill="1" applyBorder="1" applyAlignment="1" applyProtection="1"/>
    <xf numFmtId="164" fontId="29" fillId="4" borderId="8" xfId="1" applyFont="1" applyFill="1" applyBorder="1" applyAlignment="1" applyProtection="1"/>
    <xf numFmtId="0" fontId="19" fillId="0" borderId="10" xfId="0" applyFont="1" applyBorder="1" applyAlignment="1" applyProtection="1">
      <alignment horizontal="center" vertical="center" wrapText="1"/>
      <protection locked="0"/>
    </xf>
    <xf numFmtId="0" fontId="32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/>
      <protection locked="0"/>
    </xf>
    <xf numFmtId="164" fontId="33" fillId="0" borderId="0" xfId="0" applyNumberFormat="1" applyFont="1" applyProtection="1">
      <protection locked="0"/>
    </xf>
    <xf numFmtId="167" fontId="0" fillId="0" borderId="0" xfId="0" applyNumberFormat="1" applyFont="1"/>
    <xf numFmtId="0" fontId="32" fillId="0" borderId="0" xfId="0" applyFont="1"/>
    <xf numFmtId="0" fontId="11" fillId="0" borderId="0" xfId="0" applyFont="1"/>
    <xf numFmtId="165" fontId="21" fillId="0" borderId="20" xfId="0" applyNumberFormat="1" applyFont="1" applyBorder="1" applyAlignment="1">
      <alignment horizontal="center" vertical="center" wrapText="1"/>
    </xf>
    <xf numFmtId="165" fontId="0" fillId="0" borderId="0" xfId="0" applyNumberFormat="1"/>
    <xf numFmtId="165" fontId="21" fillId="6" borderId="20" xfId="0" applyNumberFormat="1" applyFont="1" applyFill="1" applyBorder="1" applyAlignment="1">
      <alignment horizontal="center" vertical="center" wrapText="1"/>
    </xf>
    <xf numFmtId="0" fontId="30" fillId="2" borderId="3" xfId="0" applyFont="1" applyFill="1" applyBorder="1" applyAlignment="1" applyProtection="1">
      <alignment horizontal="center" vertical="center" wrapText="1"/>
    </xf>
    <xf numFmtId="164" fontId="28" fillId="2" borderId="3" xfId="1" applyFont="1" applyFill="1" applyBorder="1" applyAlignment="1" applyProtection="1">
      <alignment horizontal="center" vertical="center"/>
    </xf>
    <xf numFmtId="164" fontId="28" fillId="2" borderId="7" xfId="1" applyFont="1" applyFill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left"/>
    </xf>
    <xf numFmtId="0" fontId="0" fillId="0" borderId="3" xfId="0" applyBorder="1" applyAlignment="1" applyProtection="1">
      <alignment horizontal="left" vertical="top"/>
      <protection locked="0"/>
    </xf>
    <xf numFmtId="0" fontId="30" fillId="2" borderId="4" xfId="0" applyFont="1" applyFill="1" applyBorder="1" applyAlignment="1" applyProtection="1">
      <alignment horizontal="center" vertical="center" wrapText="1"/>
    </xf>
    <xf numFmtId="164" fontId="29" fillId="5" borderId="7" xfId="1" applyFont="1" applyFill="1" applyBorder="1" applyAlignment="1" applyProtection="1">
      <alignment horizontal="center" vertical="center"/>
    </xf>
    <xf numFmtId="164" fontId="29" fillId="2" borderId="3" xfId="1" applyFont="1" applyFill="1" applyBorder="1" applyAlignment="1" applyProtection="1">
      <alignment horizontal="center" vertical="center"/>
    </xf>
    <xf numFmtId="164" fontId="29" fillId="5" borderId="3" xfId="1" applyFont="1" applyFill="1" applyBorder="1" applyAlignment="1" applyProtection="1">
      <alignment horizontal="center" vertical="center"/>
    </xf>
    <xf numFmtId="164" fontId="29" fillId="4" borderId="3" xfId="1" applyFont="1" applyFill="1" applyBorder="1" applyAlignment="1" applyProtection="1">
      <alignment horizontal="center"/>
    </xf>
    <xf numFmtId="0" fontId="30" fillId="2" borderId="11" xfId="0" applyFont="1" applyFill="1" applyBorder="1" applyAlignment="1" applyProtection="1">
      <alignment horizontal="center" vertical="center" wrapText="1"/>
    </xf>
    <xf numFmtId="164" fontId="31" fillId="0" borderId="3" xfId="1" applyFont="1" applyBorder="1" applyAlignment="1" applyProtection="1">
      <alignment horizontal="center" vertical="center" wrapText="1"/>
      <protection locked="0"/>
    </xf>
    <xf numFmtId="164" fontId="29" fillId="0" borderId="3" xfId="1" applyFont="1" applyBorder="1" applyAlignment="1" applyProtection="1">
      <alignment horizontal="center" vertical="center"/>
      <protection locked="0"/>
    </xf>
    <xf numFmtId="164" fontId="29" fillId="0" borderId="3" xfId="1" applyFont="1" applyBorder="1" applyAlignment="1" applyProtection="1">
      <alignment horizontal="center" vertical="center" wrapText="1"/>
      <protection locked="0"/>
    </xf>
    <xf numFmtId="0" fontId="30" fillId="2" borderId="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/>
    </xf>
    <xf numFmtId="0" fontId="17" fillId="2" borderId="3" xfId="0" applyFont="1" applyFill="1" applyBorder="1" applyAlignment="1" applyProtection="1">
      <alignment horizontal="center" vertical="center" wrapText="1"/>
    </xf>
    <xf numFmtId="0" fontId="27" fillId="2" borderId="3" xfId="0" applyFont="1" applyFill="1" applyBorder="1" applyAlignment="1" applyProtection="1">
      <alignment horizontal="center" vertical="center" wrapText="1"/>
    </xf>
    <xf numFmtId="0" fontId="28" fillId="2" borderId="3" xfId="0" applyFont="1" applyFill="1" applyBorder="1" applyAlignment="1" applyProtection="1">
      <alignment horizontal="center" vertical="center"/>
    </xf>
    <xf numFmtId="0" fontId="29" fillId="0" borderId="3" xfId="0" applyFont="1" applyBorder="1" applyAlignment="1" applyProtection="1">
      <alignment horizontal="center"/>
    </xf>
    <xf numFmtId="0" fontId="0" fillId="0" borderId="3" xfId="0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0" fillId="2" borderId="3" xfId="0" applyFill="1" applyBorder="1" applyAlignment="1" applyProtection="1">
      <alignment horizontal="center" vertical="center"/>
      <protection hidden="1"/>
    </xf>
    <xf numFmtId="167" fontId="0" fillId="2" borderId="4" xfId="0" applyNumberFormat="1" applyFill="1" applyBorder="1" applyAlignment="1" applyProtection="1">
      <alignment horizontal="center" vertical="center" wrapText="1"/>
      <protection hidden="1"/>
    </xf>
    <xf numFmtId="166" fontId="17" fillId="2" borderId="3" xfId="0" applyNumberFormat="1" applyFont="1" applyFill="1" applyBorder="1" applyAlignment="1" applyProtection="1">
      <alignment horizontal="center" vertical="center"/>
      <protection hidden="1"/>
    </xf>
    <xf numFmtId="166" fontId="18" fillId="0" borderId="3" xfId="0" applyNumberFormat="1" applyFont="1" applyBorder="1" applyAlignment="1" applyProtection="1">
      <alignment horizontal="center" vertical="center" wrapText="1"/>
      <protection locked="0"/>
    </xf>
    <xf numFmtId="0" fontId="15" fillId="0" borderId="7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center" vertical="center"/>
      <protection hidden="1"/>
    </xf>
    <xf numFmtId="0" fontId="26" fillId="0" borderId="1" xfId="0" applyFont="1" applyBorder="1" applyAlignment="1" applyProtection="1">
      <alignment horizontal="center"/>
    </xf>
    <xf numFmtId="0" fontId="9" fillId="0" borderId="9" xfId="0" applyFont="1" applyBorder="1" applyAlignment="1" applyProtection="1">
      <alignment horizontal="center" vertical="center" wrapText="1"/>
      <protection hidden="1"/>
    </xf>
    <xf numFmtId="0" fontId="10" fillId="0" borderId="10" xfId="0" applyFont="1" applyBorder="1" applyAlignment="1" applyProtection="1">
      <alignment horizontal="left" vertical="top" wrapText="1"/>
      <protection hidden="1"/>
    </xf>
    <xf numFmtId="0" fontId="11" fillId="0" borderId="3" xfId="0" applyFont="1" applyBorder="1" applyAlignment="1" applyProtection="1">
      <alignment horizontal="center" vertical="center" wrapText="1"/>
    </xf>
    <xf numFmtId="0" fontId="9" fillId="3" borderId="5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left" vertical="center" wrapText="1"/>
    </xf>
    <xf numFmtId="166" fontId="6" fillId="0" borderId="3" xfId="0" applyNumberFormat="1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left" vertical="center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165" fontId="4" fillId="0" borderId="7" xfId="1" applyNumberFormat="1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hidden="1"/>
    </xf>
    <xf numFmtId="165" fontId="4" fillId="2" borderId="3" xfId="1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165" fontId="7" fillId="2" borderId="3" xfId="1" applyNumberFormat="1" applyFont="1" applyFill="1" applyBorder="1" applyAlignment="1" applyProtection="1">
      <alignment horizontal="center" vertical="center" wrapText="1"/>
    </xf>
    <xf numFmtId="165" fontId="4" fillId="0" borderId="4" xfId="1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hidden="1"/>
    </xf>
    <xf numFmtId="0" fontId="0" fillId="0" borderId="2" xfId="0" applyBorder="1" applyAlignment="1" applyProtection="1">
      <alignment horizontal="center"/>
    </xf>
    <xf numFmtId="0" fontId="2" fillId="0" borderId="3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left" vertical="center"/>
    </xf>
    <xf numFmtId="0" fontId="6" fillId="0" borderId="3" xfId="0" applyFont="1" applyBorder="1" applyAlignment="1" applyProtection="1">
      <alignment horizontal="center" vertical="center" wrapText="1"/>
      <protection locked="0"/>
    </xf>
  </cellXfs>
  <cellStyles count="3">
    <cellStyle name="Normalny" xfId="0" builtinId="0"/>
    <cellStyle name="Procentowy" xfId="2" builtinId="5"/>
    <cellStyle name="Walutowy" xfId="1" builtinId="4"/>
  </cellStyles>
  <dxfs count="29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  <color rgb="FF000000"/>
      </font>
      <fill>
        <patternFill>
          <bgColor rgb="FFFF0000"/>
        </patternFill>
      </fill>
    </dxf>
    <dxf>
      <font>
        <b/>
        <i val="0"/>
        <color rgb="FF000000"/>
      </font>
      <fill>
        <patternFill>
          <bgColor rgb="FFFF0000"/>
        </patternFill>
      </fill>
    </dxf>
    <dxf>
      <font>
        <b/>
        <i val="0"/>
        <color rgb="FF000000"/>
      </font>
      <fill>
        <patternFill>
          <bgColor rgb="FFFF0000"/>
        </patternFill>
      </fill>
    </dxf>
    <dxf>
      <font>
        <b/>
        <i val="0"/>
        <color rgb="FF00000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0000"/>
        </patternFill>
      </fill>
    </dxf>
    <dxf>
      <font>
        <color rgb="FFD9D9D9"/>
      </font>
    </dxf>
    <dxf>
      <font>
        <b/>
        <i val="0"/>
        <color rgb="FF000000"/>
      </font>
    </dxf>
    <dxf>
      <font>
        <b/>
        <i val="0"/>
      </font>
      <fill>
        <patternFill>
          <bgColor rgb="FFFF0000"/>
        </patternFill>
      </fill>
    </dxf>
    <dxf>
      <font>
        <color rgb="FFFFFFFF"/>
      </font>
    </dxf>
    <dxf>
      <font>
        <color rgb="FFFFFFFF"/>
      </font>
    </dxf>
    <dxf>
      <font>
        <color rgb="FFC0C0C0"/>
        <name val="Cambria"/>
        <charset val="1"/>
      </font>
    </dxf>
    <dxf>
      <font>
        <color rgb="FFC0C0C0"/>
        <name val="Cambria"/>
        <charset val="1"/>
      </font>
    </dxf>
    <dxf>
      <font>
        <color rgb="FFC0C0C0"/>
        <name val="Cambria"/>
        <charset val="1"/>
      </font>
    </dxf>
    <dxf>
      <font>
        <b/>
        <i val="0"/>
        <color rgb="FF000000"/>
      </font>
      <fill>
        <patternFill>
          <bgColor rgb="FFFF0000"/>
        </patternFill>
      </fill>
    </dxf>
    <dxf>
      <font>
        <b/>
        <i val="0"/>
        <color rgb="FF00000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  <color rgb="FF000000"/>
      </font>
      <fill>
        <patternFill>
          <bgColor rgb="FFFF0000"/>
        </patternFill>
      </fill>
    </dxf>
    <dxf>
      <font>
        <b/>
        <i val="0"/>
        <color rgb="FF000000"/>
      </font>
      <fill>
        <patternFill>
          <bgColor rgb="FFFF0000"/>
        </patternFill>
      </fill>
    </dxf>
    <dxf>
      <font>
        <b/>
        <i val="0"/>
        <color rgb="FF000000"/>
      </font>
      <fill>
        <patternFill>
          <bgColor rgb="FFFF0000"/>
        </patternFill>
      </fill>
    </dxf>
    <dxf>
      <font>
        <b/>
        <i val="0"/>
        <color rgb="FF000000"/>
      </font>
      <fill>
        <patternFill>
          <bgColor rgb="FFFF0000"/>
        </patternFill>
      </fill>
    </dxf>
    <dxf>
      <font>
        <b/>
        <i val="0"/>
        <color rgb="FF000000"/>
      </font>
      <fill>
        <patternFill>
          <bgColor rgb="FFFF0000"/>
        </patternFill>
      </fill>
    </dxf>
    <dxf>
      <font>
        <b/>
        <i val="0"/>
        <color rgb="FF000000"/>
      </font>
      <fill>
        <patternFill>
          <bgColor rgb="FFFF0000"/>
        </patternFill>
      </fill>
    </dxf>
    <dxf>
      <font>
        <b/>
        <i val="0"/>
        <color rgb="FF000000"/>
      </font>
      <fill>
        <patternFill>
          <bgColor rgb="FFFF0000"/>
        </patternFill>
      </fill>
    </dxf>
    <dxf>
      <font>
        <b/>
        <i val="0"/>
        <color rgb="FF000000"/>
      </font>
      <fill>
        <patternFill>
          <bgColor rgb="FFFF0000"/>
        </patternFill>
      </fill>
    </dxf>
    <dxf>
      <font>
        <b/>
        <i val="0"/>
        <color rgb="FF00000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349560</xdr:colOff>
      <xdr:row>1</xdr:row>
      <xdr:rowOff>190440</xdr:rowOff>
    </xdr:from>
    <xdr:to>
      <xdr:col>17</xdr:col>
      <xdr:colOff>405360</xdr:colOff>
      <xdr:row>1</xdr:row>
      <xdr:rowOff>1379520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191840" y="780840"/>
          <a:ext cx="10697040" cy="11890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09"/>
  <sheetViews>
    <sheetView tabSelected="1" zoomScale="87" zoomScaleNormal="87" workbookViewId="0">
      <selection activeCell="R11" sqref="R11:W11"/>
    </sheetView>
  </sheetViews>
  <sheetFormatPr defaultColWidth="9" defaultRowHeight="14.25"/>
  <cols>
    <col min="1" max="1" width="5.125" style="1" customWidth="1"/>
    <col min="2" max="2" width="3.375" style="2" customWidth="1"/>
    <col min="3" max="3" width="6.625" style="1" customWidth="1"/>
    <col min="4" max="4" width="7.125" style="2" customWidth="1"/>
    <col min="5" max="5" width="16.25" style="3" customWidth="1"/>
    <col min="6" max="6" width="12" style="1" bestFit="1" customWidth="1"/>
    <col min="7" max="7" width="10.75" style="1" customWidth="1"/>
    <col min="8" max="8" width="11.125" style="1" customWidth="1"/>
    <col min="9" max="9" width="14.625" style="1" customWidth="1"/>
    <col min="10" max="10" width="14.625" style="4" customWidth="1"/>
    <col min="11" max="11" width="12.625" style="4" customWidth="1"/>
    <col min="12" max="12" width="12.625" style="1" customWidth="1"/>
    <col min="13" max="13" width="10.625" style="1" customWidth="1"/>
    <col min="14" max="14" width="12.625" style="1" customWidth="1"/>
    <col min="15" max="15" width="12.625" style="5" customWidth="1"/>
    <col min="16" max="18" width="12.625" style="4" customWidth="1"/>
    <col min="19" max="19" width="11" style="1" customWidth="1"/>
    <col min="20" max="20" width="9" style="1"/>
    <col min="21" max="21" width="12" style="1" customWidth="1"/>
    <col min="22" max="22" width="11" style="1" customWidth="1"/>
    <col min="23" max="23" width="16.25" style="1" customWidth="1"/>
    <col min="24" max="43" width="12" hidden="1" customWidth="1"/>
    <col min="44" max="44" width="13.875" hidden="1" customWidth="1"/>
    <col min="45" max="45" width="14.875" hidden="1" customWidth="1"/>
    <col min="46" max="46" width="8" hidden="1" customWidth="1"/>
    <col min="47" max="47" width="6.875" customWidth="1"/>
    <col min="48" max="1024" width="9" style="1"/>
  </cols>
  <sheetData>
    <row r="1" spans="1:30" s="3" customFormat="1" ht="46.5" customHeight="1">
      <c r="B1" s="2"/>
      <c r="C1" s="153" t="str">
        <f>IFERROR(IF(AND('dane pomocnicze'!N22=0,Y13=11,I76&lt;&gt;0,N76&lt;&gt;0)=1,"Załącznik nr 2 do umowy: Harmonogram skladania wniosków o płatność","HARMONOGRAM NIE JEST GOTOWY DO ZŁOŻENIA - UZUPEŁNIJ WYMAGANE DANE LUB POPRAW BŁĘDY. PAMIĘTAJ, ABY W PIERWSZEJ KOLEJNOŚCI POPRAWNIE WYPEŁNIĆ METRYCZKĘ."),"")</f>
        <v>HARMONOGRAM NIE JEST GOTOWY DO ZŁOŻENIA - UZUPEŁNIJ WYMAGANE DANE LUB POPRAW BŁĘDY. PAMIĘTAJ, ABY W PIERWSZEJ KOLEJNOŚCI POPRAWNIE WYPEŁNIĆ METRYCZKĘ.</v>
      </c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</row>
    <row r="2" spans="1:30" ht="117.75" customHeight="1">
      <c r="A2" s="6"/>
      <c r="B2" s="7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41"/>
      <c r="Y2" s="41"/>
      <c r="Z2" s="41"/>
      <c r="AA2" s="41"/>
      <c r="AB2" s="41"/>
      <c r="AC2" s="41"/>
      <c r="AD2" s="41"/>
    </row>
    <row r="3" spans="1:30" ht="42" customHeight="1">
      <c r="C3" s="155" t="s">
        <v>0</v>
      </c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41"/>
      <c r="Y3" s="41"/>
      <c r="Z3" s="41"/>
      <c r="AA3" s="41"/>
      <c r="AB3" s="41"/>
      <c r="AC3" s="41"/>
      <c r="AD3" s="41"/>
    </row>
    <row r="4" spans="1:30" ht="20.100000000000001" customHeight="1">
      <c r="C4" s="142" t="s">
        <v>1</v>
      </c>
      <c r="D4" s="142"/>
      <c r="E4" s="142"/>
      <c r="F4" s="142"/>
      <c r="G4" s="142"/>
      <c r="H4" s="150" t="s">
        <v>200</v>
      </c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41"/>
      <c r="Y4" s="41"/>
      <c r="Z4" s="41"/>
      <c r="AA4" s="41"/>
      <c r="AB4" s="41"/>
      <c r="AC4" s="41"/>
      <c r="AD4" s="41"/>
    </row>
    <row r="5" spans="1:30" ht="20.100000000000001" customHeight="1">
      <c r="C5" s="156" t="s">
        <v>2</v>
      </c>
      <c r="D5" s="156"/>
      <c r="E5" s="156"/>
      <c r="F5" s="156"/>
      <c r="G5" s="156"/>
      <c r="H5" s="157" t="s">
        <v>198</v>
      </c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41"/>
      <c r="Y5" s="41"/>
      <c r="Z5" s="41"/>
      <c r="AA5" s="41"/>
      <c r="AB5" s="41"/>
      <c r="AC5" s="41"/>
      <c r="AD5" s="41"/>
    </row>
    <row r="6" spans="1:30" ht="20.100000000000001" customHeight="1">
      <c r="C6" s="156" t="s">
        <v>3</v>
      </c>
      <c r="D6" s="156"/>
      <c r="E6" s="156"/>
      <c r="F6" s="156"/>
      <c r="G6" s="156"/>
      <c r="H6" s="157" t="s">
        <v>197</v>
      </c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41"/>
      <c r="Y6" s="41"/>
      <c r="Z6" s="41"/>
      <c r="AA6" s="41"/>
      <c r="AB6" s="41"/>
      <c r="AC6" s="41"/>
      <c r="AD6" s="41"/>
    </row>
    <row r="7" spans="1:30" ht="20.100000000000001" customHeight="1">
      <c r="C7" s="142" t="s">
        <v>4</v>
      </c>
      <c r="D7" s="142"/>
      <c r="E7" s="142"/>
      <c r="F7" s="142"/>
      <c r="G7" s="142"/>
      <c r="H7" s="149" t="s">
        <v>199</v>
      </c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41"/>
      <c r="Y7" s="41"/>
      <c r="Z7" s="41"/>
      <c r="AA7" s="41"/>
      <c r="AB7" s="41"/>
      <c r="AC7" s="41"/>
      <c r="AD7" s="41"/>
    </row>
    <row r="8" spans="1:30" ht="20.100000000000001" customHeight="1">
      <c r="C8" s="142" t="s">
        <v>5</v>
      </c>
      <c r="D8" s="142"/>
      <c r="E8" s="142"/>
      <c r="F8" s="142"/>
      <c r="G8" s="142"/>
      <c r="H8" s="150" t="s">
        <v>201</v>
      </c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41"/>
      <c r="Y8" s="41"/>
      <c r="Z8" s="41"/>
      <c r="AA8" s="41"/>
      <c r="AB8" s="41"/>
      <c r="AC8" s="41"/>
      <c r="AD8" s="41"/>
    </row>
    <row r="9" spans="1:30" ht="20.100000000000001" customHeight="1">
      <c r="C9" s="142" t="s">
        <v>6</v>
      </c>
      <c r="D9" s="142"/>
      <c r="E9" s="142"/>
      <c r="F9" s="142"/>
      <c r="G9" s="142"/>
      <c r="H9" s="151">
        <f>SUM(H12+H11)</f>
        <v>1359256.25</v>
      </c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41"/>
      <c r="Y9" s="41"/>
      <c r="Z9" s="41"/>
      <c r="AA9" s="41"/>
      <c r="AB9" s="41"/>
      <c r="AC9" s="41"/>
      <c r="AD9" s="41"/>
    </row>
    <row r="10" spans="1:30" ht="20.100000000000001" customHeight="1">
      <c r="C10" s="142" t="s">
        <v>7</v>
      </c>
      <c r="D10" s="142"/>
      <c r="E10" s="142"/>
      <c r="F10" s="142"/>
      <c r="G10" s="142"/>
      <c r="H10" s="152">
        <v>0</v>
      </c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41"/>
      <c r="Y10" s="41"/>
      <c r="Z10" s="41"/>
      <c r="AA10" s="41"/>
      <c r="AB10" s="41"/>
      <c r="AC10" s="41"/>
      <c r="AD10" s="41"/>
    </row>
    <row r="11" spans="1:30" ht="20.100000000000001" customHeight="1">
      <c r="C11" s="142" t="s">
        <v>8</v>
      </c>
      <c r="D11" s="142"/>
      <c r="E11" s="142"/>
      <c r="F11" s="142"/>
      <c r="G11" s="142"/>
      <c r="H11" s="146">
        <v>1359256.25</v>
      </c>
      <c r="I11" s="146"/>
      <c r="J11" s="146"/>
      <c r="K11" s="146"/>
      <c r="L11" s="146"/>
      <c r="M11" s="146"/>
      <c r="N11" s="146"/>
      <c r="O11" s="146"/>
      <c r="P11" s="146"/>
      <c r="Q11" s="8">
        <f>IF(ISERROR(H11/H9),"-",H11/H9)</f>
        <v>1</v>
      </c>
      <c r="R11" s="147"/>
      <c r="S11" s="147"/>
      <c r="T11" s="147"/>
      <c r="U11" s="147"/>
      <c r="V11" s="147"/>
      <c r="W11" s="147"/>
      <c r="X11" s="41"/>
      <c r="Y11" s="41"/>
      <c r="Z11" s="41"/>
      <c r="AA11" s="41"/>
      <c r="AB11" s="41"/>
      <c r="AC11" s="41"/>
      <c r="AD11" s="41">
        <f>H11/H14</f>
        <v>0.85</v>
      </c>
    </row>
    <row r="12" spans="1:30" ht="20.100000000000001" customHeight="1">
      <c r="C12" s="142" t="s">
        <v>9</v>
      </c>
      <c r="D12" s="142"/>
      <c r="E12" s="142"/>
      <c r="F12" s="142"/>
      <c r="G12" s="142"/>
      <c r="H12" s="146"/>
      <c r="I12" s="146"/>
      <c r="J12" s="146"/>
      <c r="K12" s="146"/>
      <c r="L12" s="146"/>
      <c r="M12" s="146"/>
      <c r="N12" s="146"/>
      <c r="O12" s="146"/>
      <c r="P12" s="146"/>
      <c r="Q12" s="8">
        <f>IF(ISERROR(H12/H9),"-",H12/H9)</f>
        <v>0</v>
      </c>
      <c r="R12" s="147"/>
      <c r="S12" s="147"/>
      <c r="T12" s="147"/>
      <c r="U12" s="147"/>
      <c r="V12" s="147"/>
      <c r="W12" s="147"/>
      <c r="X12" s="41"/>
      <c r="Y12" s="41" t="b">
        <f>AND('dane pomocnicze'!N22&lt;&gt;0,Y13&lt;&gt;11)</f>
        <v>0</v>
      </c>
      <c r="Z12" s="41"/>
      <c r="AA12" s="41"/>
      <c r="AB12" s="41"/>
      <c r="AC12" s="41"/>
      <c r="AD12" s="41">
        <f>H12/H14</f>
        <v>0</v>
      </c>
    </row>
    <row r="13" spans="1:30" ht="20.100000000000001" customHeight="1">
      <c r="C13" s="144" t="s">
        <v>10</v>
      </c>
      <c r="D13" s="144"/>
      <c r="E13" s="144"/>
      <c r="F13" s="144"/>
      <c r="G13" s="144"/>
      <c r="H13" s="146">
        <v>239868.75</v>
      </c>
      <c r="I13" s="146"/>
      <c r="J13" s="146"/>
      <c r="K13" s="146"/>
      <c r="L13" s="146"/>
      <c r="M13" s="146"/>
      <c r="N13" s="146"/>
      <c r="O13" s="146"/>
      <c r="P13" s="146"/>
      <c r="Q13" s="8">
        <f>IF(ISERROR(H13/H14),"-",H13/H14)</f>
        <v>0.15</v>
      </c>
      <c r="R13" s="147"/>
      <c r="S13" s="147"/>
      <c r="T13" s="147"/>
      <c r="U13" s="147"/>
      <c r="V13" s="147"/>
      <c r="W13" s="147"/>
      <c r="X13" s="41"/>
      <c r="Y13" s="41">
        <f>COUNTA(H4,H5,H7,H8,H10,H11,H12,H13,H15,H16,H17)</f>
        <v>9</v>
      </c>
      <c r="Z13" s="41"/>
      <c r="AA13" s="41"/>
      <c r="AB13" s="41"/>
      <c r="AC13" s="41"/>
      <c r="AD13" s="41">
        <f>H13/H14</f>
        <v>0.15</v>
      </c>
    </row>
    <row r="14" spans="1:30" ht="20.100000000000001" customHeight="1">
      <c r="C14" s="142" t="s">
        <v>11</v>
      </c>
      <c r="D14" s="142"/>
      <c r="E14" s="142"/>
      <c r="F14" s="142"/>
      <c r="G14" s="142"/>
      <c r="H14" s="148">
        <f>SUM(H9+H13)</f>
        <v>1599125</v>
      </c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41"/>
      <c r="Y14" s="41"/>
      <c r="Z14" s="41"/>
      <c r="AA14" s="41"/>
      <c r="AB14" s="41"/>
      <c r="AC14" s="41"/>
      <c r="AD14" s="41"/>
    </row>
    <row r="15" spans="1:30" ht="20.100000000000001" customHeight="1">
      <c r="C15" s="140" t="s">
        <v>12</v>
      </c>
      <c r="D15" s="140"/>
      <c r="E15" s="140"/>
      <c r="F15" s="140"/>
      <c r="G15" s="140"/>
      <c r="H15" s="141">
        <v>44197</v>
      </c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41"/>
      <c r="Y15" s="41"/>
      <c r="Z15" s="41"/>
      <c r="AA15" s="41"/>
      <c r="AB15" s="41"/>
      <c r="AC15" s="41"/>
      <c r="AD15" s="41"/>
    </row>
    <row r="16" spans="1:30" ht="20.100000000000001" customHeight="1">
      <c r="C16" s="140" t="s">
        <v>13</v>
      </c>
      <c r="D16" s="140"/>
      <c r="E16" s="140"/>
      <c r="F16" s="140"/>
      <c r="G16" s="140"/>
      <c r="H16" s="141">
        <v>45199</v>
      </c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41"/>
      <c r="Y16" s="41" t="s">
        <v>14</v>
      </c>
      <c r="Z16" s="41"/>
      <c r="AA16" s="41"/>
      <c r="AB16" s="41"/>
      <c r="AC16" s="41"/>
      <c r="AD16" s="41"/>
    </row>
    <row r="17" spans="2:46" ht="20.100000000000001" customHeight="1">
      <c r="C17" s="142" t="s">
        <v>15</v>
      </c>
      <c r="D17" s="142"/>
      <c r="E17" s="142"/>
      <c r="F17" s="142"/>
      <c r="G17" s="142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</row>
    <row r="18" spans="2:46" ht="20.100000000000001" customHeight="1">
      <c r="C18" s="144" t="s">
        <v>16</v>
      </c>
      <c r="D18" s="144"/>
      <c r="E18" s="144"/>
      <c r="F18" s="144"/>
      <c r="G18" s="144"/>
      <c r="H18" s="143" t="s">
        <v>17</v>
      </c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</row>
    <row r="19" spans="2:46" ht="20.100000000000001" customHeight="1">
      <c r="C19" s="144" t="s">
        <v>18</v>
      </c>
      <c r="D19" s="144"/>
      <c r="E19" s="144"/>
      <c r="F19" s="144"/>
      <c r="G19" s="144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</row>
    <row r="20" spans="2:46" ht="20.100000000000001" customHeight="1">
      <c r="C20" s="144" t="s">
        <v>19</v>
      </c>
      <c r="D20" s="144"/>
      <c r="E20" s="144"/>
      <c r="F20" s="144"/>
      <c r="G20" s="144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</row>
    <row r="21" spans="2:46" ht="18" customHeight="1">
      <c r="C21" s="132" t="str">
        <f>IFERROR(IF('dane pomocnicze'!N22&gt;0,CONCATENATE("Liczba błędów: ",'dane pomocnicze'!N22,"."," Błędnie wprowadzone wartości zostały oznaczone czerwonym polem."),""),"")</f>
        <v/>
      </c>
      <c r="D21" s="132"/>
      <c r="E21" s="132"/>
      <c r="F21" s="133" t="str">
        <f>IFERROR('dane pomocnicze'!M23,"")</f>
        <v/>
      </c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</row>
    <row r="22" spans="2:46" s="9" customFormat="1" ht="12.75" customHeight="1">
      <c r="B22" s="10"/>
      <c r="C22" s="132"/>
      <c r="D22" s="132"/>
      <c r="E22" s="132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</row>
    <row r="23" spans="2:46" ht="29.25" customHeight="1">
      <c r="C23" s="132"/>
      <c r="D23" s="132"/>
      <c r="E23" s="132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</row>
    <row r="24" spans="2:46" ht="21" customHeight="1">
      <c r="C24" s="132"/>
      <c r="D24" s="132"/>
      <c r="E24" s="132"/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</row>
    <row r="25" spans="2:46" ht="91.5" customHeight="1">
      <c r="C25" s="11" t="s">
        <v>20</v>
      </c>
      <c r="D25" s="11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</row>
    <row r="26" spans="2:46" s="4" customFormat="1" ht="66" customHeight="1">
      <c r="B26" s="5"/>
      <c r="C26" s="12" t="s">
        <v>21</v>
      </c>
      <c r="D26" s="12" t="s">
        <v>22</v>
      </c>
      <c r="E26" s="12" t="s">
        <v>23</v>
      </c>
      <c r="F26" s="134" t="s">
        <v>24</v>
      </c>
      <c r="G26" s="134"/>
      <c r="H26" s="135" t="s">
        <v>25</v>
      </c>
      <c r="I26" s="134" t="s">
        <v>26</v>
      </c>
      <c r="J26" s="134"/>
      <c r="K26" s="134"/>
      <c r="L26" s="134"/>
      <c r="M26" s="135" t="s">
        <v>25</v>
      </c>
      <c r="N26" s="134" t="s">
        <v>27</v>
      </c>
      <c r="O26" s="134"/>
      <c r="P26" s="134"/>
      <c r="Q26" s="134"/>
      <c r="R26" s="134"/>
      <c r="S26" s="135" t="s">
        <v>25</v>
      </c>
      <c r="T26" s="134" t="s">
        <v>28</v>
      </c>
      <c r="U26" s="134"/>
      <c r="V26" s="134"/>
      <c r="W26" s="134"/>
    </row>
    <row r="27" spans="2:46" s="4" customFormat="1" ht="45.75" customHeight="1">
      <c r="B27" s="5"/>
      <c r="C27" s="136"/>
      <c r="D27" s="136"/>
      <c r="E27" s="136"/>
      <c r="F27" s="137" t="s">
        <v>29</v>
      </c>
      <c r="G27" s="138" t="s">
        <v>30</v>
      </c>
      <c r="H27" s="135"/>
      <c r="I27" s="138" t="s">
        <v>31</v>
      </c>
      <c r="J27" s="139" t="s">
        <v>32</v>
      </c>
      <c r="K27" s="139" t="s">
        <v>33</v>
      </c>
      <c r="L27" s="15" t="s">
        <v>34</v>
      </c>
      <c r="M27" s="135"/>
      <c r="N27" s="138" t="s">
        <v>31</v>
      </c>
      <c r="O27" s="134" t="s">
        <v>32</v>
      </c>
      <c r="P27" s="134" t="s">
        <v>33</v>
      </c>
      <c r="Q27" s="134" t="s">
        <v>35</v>
      </c>
      <c r="R27" s="15" t="s">
        <v>36</v>
      </c>
      <c r="S27" s="135"/>
      <c r="T27" s="137" t="s">
        <v>31</v>
      </c>
      <c r="U27" s="134" t="s">
        <v>32</v>
      </c>
      <c r="V27" s="134" t="s">
        <v>33</v>
      </c>
      <c r="W27" s="16" t="s">
        <v>37</v>
      </c>
    </row>
    <row r="28" spans="2:46" s="4" customFormat="1" ht="30">
      <c r="B28" s="5"/>
      <c r="C28" s="136"/>
      <c r="D28" s="136"/>
      <c r="E28" s="136"/>
      <c r="F28" s="137"/>
      <c r="G28" s="138"/>
      <c r="H28" s="135"/>
      <c r="I28" s="138"/>
      <c r="J28" s="139"/>
      <c r="K28" s="139"/>
      <c r="L28" s="13" t="s">
        <v>38</v>
      </c>
      <c r="M28" s="135"/>
      <c r="N28" s="138"/>
      <c r="O28" s="134"/>
      <c r="P28" s="134"/>
      <c r="Q28" s="134"/>
      <c r="R28" s="14" t="s">
        <v>39</v>
      </c>
      <c r="S28" s="135"/>
      <c r="T28" s="137"/>
      <c r="U28" s="134"/>
      <c r="V28" s="134"/>
      <c r="W28" s="14" t="s">
        <v>40</v>
      </c>
    </row>
    <row r="29" spans="2:46" ht="45">
      <c r="C29" s="136"/>
      <c r="D29" s="136"/>
      <c r="E29" s="136"/>
      <c r="F29" s="137"/>
      <c r="G29" s="138"/>
      <c r="H29" s="135"/>
      <c r="I29" s="138"/>
      <c r="J29" s="139"/>
      <c r="K29" s="139"/>
      <c r="L29" s="17" t="s">
        <v>41</v>
      </c>
      <c r="M29" s="135"/>
      <c r="N29" s="138"/>
      <c r="O29" s="134"/>
      <c r="P29" s="134"/>
      <c r="Q29" s="134"/>
      <c r="R29" s="17" t="s">
        <v>41</v>
      </c>
      <c r="S29" s="135"/>
      <c r="T29" s="137"/>
      <c r="U29" s="134"/>
      <c r="V29" s="134"/>
      <c r="W29" s="18" t="s">
        <v>41</v>
      </c>
      <c r="X29" s="41"/>
      <c r="Y29" s="41"/>
      <c r="Z29" s="19">
        <v>0.7</v>
      </c>
      <c r="AA29" s="41"/>
      <c r="AB29" s="41"/>
      <c r="AC29" s="41" t="s">
        <v>42</v>
      </c>
      <c r="AD29" s="41"/>
      <c r="AE29" s="41"/>
      <c r="AF29" s="41"/>
      <c r="AG29" s="41"/>
      <c r="AH29" s="41"/>
      <c r="AI29" s="41"/>
      <c r="AJ29" s="41"/>
      <c r="AK29" s="41"/>
      <c r="AL29" s="41" t="s">
        <v>43</v>
      </c>
      <c r="AM29" s="41" t="s">
        <v>44</v>
      </c>
      <c r="AN29" s="41"/>
      <c r="AO29" s="41"/>
      <c r="AP29" s="41"/>
      <c r="AQ29" s="41" t="s">
        <v>43</v>
      </c>
      <c r="AR29" s="41" t="s">
        <v>44</v>
      </c>
      <c r="AS29" s="41" t="s">
        <v>45</v>
      </c>
      <c r="AT29" s="41" t="s">
        <v>46</v>
      </c>
    </row>
    <row r="30" spans="2:46" s="2" customFormat="1">
      <c r="C30" s="20">
        <v>1</v>
      </c>
      <c r="D30" s="20">
        <v>2</v>
      </c>
      <c r="E30" s="20">
        <v>3</v>
      </c>
      <c r="F30" s="21">
        <v>4</v>
      </c>
      <c r="G30" s="22">
        <v>5</v>
      </c>
      <c r="H30" s="135"/>
      <c r="I30" s="23">
        <v>6</v>
      </c>
      <c r="J30" s="24">
        <v>7</v>
      </c>
      <c r="K30" s="24">
        <v>8</v>
      </c>
      <c r="L30" s="25">
        <v>9</v>
      </c>
      <c r="M30" s="135"/>
      <c r="N30" s="26">
        <v>10</v>
      </c>
      <c r="O30" s="12">
        <v>11</v>
      </c>
      <c r="P30" s="12">
        <v>12</v>
      </c>
      <c r="Q30" s="27">
        <v>13</v>
      </c>
      <c r="R30" s="28">
        <v>14</v>
      </c>
      <c r="S30" s="135"/>
      <c r="T30" s="25">
        <v>15</v>
      </c>
      <c r="U30" s="29">
        <v>16</v>
      </c>
      <c r="V30" s="29">
        <v>17</v>
      </c>
      <c r="W30" s="29">
        <v>18</v>
      </c>
    </row>
    <row r="31" spans="2:46" ht="30" customHeight="1">
      <c r="B31" s="123">
        <v>1</v>
      </c>
      <c r="C31" s="124">
        <f>YEAR(G31)</f>
        <v>2021</v>
      </c>
      <c r="D31" s="125">
        <f>CEILING(MONTH(G31)/3,1)</f>
        <v>1</v>
      </c>
      <c r="E31" s="126">
        <f>G31</f>
        <v>44201</v>
      </c>
      <c r="F31" s="127">
        <f>IF(H15&gt;0,H15,"")</f>
        <v>44197</v>
      </c>
      <c r="G31" s="128">
        <v>44201</v>
      </c>
      <c r="H31" s="30" t="s">
        <v>47</v>
      </c>
      <c r="I31" s="31">
        <f>J31+K31</f>
        <v>250000</v>
      </c>
      <c r="J31" s="32">
        <v>250000</v>
      </c>
      <c r="K31" s="32">
        <v>0</v>
      </c>
      <c r="L31" s="33">
        <v>0</v>
      </c>
      <c r="M31" s="34" t="s">
        <v>47</v>
      </c>
      <c r="N31" s="31">
        <f>SUM(O31:Q31)</f>
        <v>0</v>
      </c>
      <c r="O31" s="35">
        <f>SUM(O32:O33)</f>
        <v>0</v>
      </c>
      <c r="P31" s="35">
        <f>SUM(P32:P33)</f>
        <v>0</v>
      </c>
      <c r="Q31" s="32">
        <v>0</v>
      </c>
      <c r="R31" s="36"/>
      <c r="S31" s="37" t="s">
        <v>47</v>
      </c>
      <c r="T31" s="38"/>
      <c r="U31" s="39"/>
      <c r="V31" s="39"/>
      <c r="W31" s="40"/>
      <c r="X31" s="41">
        <f t="shared" ref="X31:X75" si="0">IF(F31&gt;G31,1,0)</f>
        <v>0</v>
      </c>
      <c r="Y31" s="41">
        <f>IF(L31="0,00%","0",IF(L31&gt;1,1,0))</f>
        <v>0</v>
      </c>
      <c r="Z31" s="41"/>
      <c r="AA31" s="41">
        <f>IF(ISERROR(IF(F31&gt;0,YEAR(F31),"")),"",IF(F31&gt;0,YEAR(F31),""))</f>
        <v>2021</v>
      </c>
      <c r="AB31" s="41">
        <f>IF(ISERROR(IF(G31&gt;0,YEAR(G31),"")),"",IF(G31&gt;0,YEAR(G31),""))</f>
        <v>2021</v>
      </c>
      <c r="AC31" s="41">
        <v>0</v>
      </c>
      <c r="AD31" s="41"/>
      <c r="AE31" s="41">
        <f>(I32+I33)</f>
        <v>250000</v>
      </c>
      <c r="AF31" s="41">
        <f>(AG32+AG33)</f>
        <v>250000</v>
      </c>
      <c r="AG31" s="41">
        <f t="shared" ref="AG31:AG75" si="1">AH31+AI31</f>
        <v>250000</v>
      </c>
      <c r="AH31" s="41">
        <f>J31</f>
        <v>250000</v>
      </c>
      <c r="AI31" s="41">
        <f>K31</f>
        <v>0</v>
      </c>
      <c r="AJ31" s="41">
        <f>(N32+N33)</f>
        <v>0</v>
      </c>
      <c r="AK31" s="41"/>
      <c r="AL31" s="41">
        <f>IF(AJ31=1,$AK$77,0)</f>
        <v>0</v>
      </c>
      <c r="AM31" s="41">
        <f>IF(AJ31=1,$AK$78,0)</f>
        <v>0</v>
      </c>
      <c r="AN31" s="41"/>
      <c r="AO31" s="41">
        <f>IF(AND(AF31=$H$9,AG31&lt;&gt;0,C31&lt;&gt;1900),1,0)</f>
        <v>0</v>
      </c>
      <c r="AP31" s="41"/>
      <c r="AQ31" s="41">
        <f>IF(AO31=1,$AL$77,0)</f>
        <v>0</v>
      </c>
      <c r="AR31" s="41">
        <f>IF(AO31=1,$AL$78,0)</f>
        <v>0</v>
      </c>
      <c r="AS31" s="41"/>
      <c r="AT31" s="41">
        <v>0</v>
      </c>
    </row>
    <row r="32" spans="2:46" ht="30" customHeight="1">
      <c r="B32" s="123"/>
      <c r="C32" s="124"/>
      <c r="D32" s="125"/>
      <c r="E32" s="126"/>
      <c r="F32" s="127"/>
      <c r="G32" s="128"/>
      <c r="H32" s="30" t="s">
        <v>48</v>
      </c>
      <c r="I32" s="42">
        <f>IFERROR(J32+K32,0)</f>
        <v>250000</v>
      </c>
      <c r="J32" s="43">
        <f>IFERROR(AH32+AQ31,0)</f>
        <v>250000</v>
      </c>
      <c r="K32" s="43">
        <f>IFERROR(AI32,0)</f>
        <v>0</v>
      </c>
      <c r="L32" s="44">
        <f>IF(ISERROR(I32/I31),"-",I32/I31)</f>
        <v>1</v>
      </c>
      <c r="M32" s="30" t="s">
        <v>48</v>
      </c>
      <c r="N32" s="42">
        <f>SUM(O32:P32)</f>
        <v>0</v>
      </c>
      <c r="O32" s="45">
        <v>0</v>
      </c>
      <c r="P32" s="45">
        <v>0</v>
      </c>
      <c r="Q32" s="46" t="s">
        <v>49</v>
      </c>
      <c r="R32" s="44" t="str">
        <f>IF(ISERROR(N32/(N31-Q31)),"-",(N32/(N31-Q31)))</f>
        <v>-</v>
      </c>
      <c r="S32" s="47" t="s">
        <v>48</v>
      </c>
      <c r="T32" s="48"/>
      <c r="U32" s="49"/>
      <c r="V32" s="49"/>
      <c r="W32" s="50"/>
      <c r="X32" s="41">
        <f t="shared" si="0"/>
        <v>0</v>
      </c>
      <c r="Y32" s="41"/>
      <c r="Z32" s="41"/>
      <c r="AA32" s="41"/>
      <c r="AB32" s="41"/>
      <c r="AC32" s="41"/>
      <c r="AD32" s="41"/>
      <c r="AE32" s="41"/>
      <c r="AF32" s="41"/>
      <c r="AG32" s="41">
        <f t="shared" si="1"/>
        <v>250000</v>
      </c>
      <c r="AH32" s="41">
        <f>ROUND(AH31*$Q$11,2)</f>
        <v>250000</v>
      </c>
      <c r="AI32" s="41">
        <f>ROUND(AI31*$Q$11,2)</f>
        <v>0</v>
      </c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</row>
    <row r="33" spans="2:46" ht="30" customHeight="1">
      <c r="B33" s="123"/>
      <c r="C33" s="124"/>
      <c r="D33" s="125"/>
      <c r="E33" s="126"/>
      <c r="F33" s="127"/>
      <c r="G33" s="128"/>
      <c r="H33" s="51" t="s">
        <v>50</v>
      </c>
      <c r="I33" s="52">
        <f>IFERROR(J33+K33,0)</f>
        <v>0</v>
      </c>
      <c r="J33" s="53">
        <f>IFERROR(AH33+AR31,0)</f>
        <v>0</v>
      </c>
      <c r="K33" s="53">
        <f>IFERROR(AI33,0)</f>
        <v>0</v>
      </c>
      <c r="L33" s="44">
        <f>IF(ISERROR(I33/I31),"-",I33/I31)</f>
        <v>0</v>
      </c>
      <c r="M33" s="51" t="s">
        <v>50</v>
      </c>
      <c r="N33" s="54">
        <f>SUM(O33:P33)</f>
        <v>0</v>
      </c>
      <c r="O33" s="45">
        <v>0</v>
      </c>
      <c r="P33" s="45">
        <v>0</v>
      </c>
      <c r="Q33" s="55"/>
      <c r="R33" s="44" t="str">
        <f>IF(ISERROR(N33/(N31-Q31)),"-",(N33/(N31-Q31)))</f>
        <v>-</v>
      </c>
      <c r="S33" s="56" t="s">
        <v>50</v>
      </c>
      <c r="T33" s="48"/>
      <c r="U33" s="49"/>
      <c r="V33" s="49"/>
      <c r="W33" s="50"/>
      <c r="X33" s="41">
        <f t="shared" si="0"/>
        <v>0</v>
      </c>
      <c r="Y33" s="41"/>
      <c r="Z33" s="41"/>
      <c r="AA33" s="41"/>
      <c r="AB33" s="41"/>
      <c r="AC33" s="41"/>
      <c r="AD33" s="41"/>
      <c r="AE33" s="41"/>
      <c r="AF33" s="41"/>
      <c r="AG33" s="41">
        <f t="shared" si="1"/>
        <v>0</v>
      </c>
      <c r="AH33" s="41">
        <f>ROUND(AH31*$Q$12,2)</f>
        <v>0</v>
      </c>
      <c r="AI33" s="41">
        <f>ROUND(AI31*$Q$12,2)</f>
        <v>0</v>
      </c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</row>
    <row r="34" spans="2:46" ht="30" customHeight="1">
      <c r="B34" s="123">
        <v>2</v>
      </c>
      <c r="C34" s="124">
        <f>YEAR(G34)</f>
        <v>2021</v>
      </c>
      <c r="D34" s="125">
        <f>CEILING(MONTH(G34)/3,1)</f>
        <v>1</v>
      </c>
      <c r="E34" s="126">
        <f>G34</f>
        <v>44286</v>
      </c>
      <c r="F34" s="127">
        <f>IF(G31&gt;0,(G31+1),"")</f>
        <v>44202</v>
      </c>
      <c r="G34" s="128">
        <v>44286</v>
      </c>
      <c r="H34" s="51" t="s">
        <v>47</v>
      </c>
      <c r="I34" s="31">
        <f>J34+K34</f>
        <v>0</v>
      </c>
      <c r="J34" s="32">
        <v>0</v>
      </c>
      <c r="K34" s="32">
        <v>0</v>
      </c>
      <c r="L34" s="57">
        <f>IF(ISERROR((N35+N36+N32+N33)/I31),"0,00%",(N35+N36+N32+N33)/I31)</f>
        <v>0.40799999999999997</v>
      </c>
      <c r="M34" s="34" t="s">
        <v>47</v>
      </c>
      <c r="N34" s="31">
        <f>SUM(O34:Q34)</f>
        <v>120000</v>
      </c>
      <c r="O34" s="35">
        <f>SUM(O35:O36)</f>
        <v>102000</v>
      </c>
      <c r="P34" s="35">
        <f>SUM(P35:P36)</f>
        <v>0</v>
      </c>
      <c r="Q34" s="32">
        <v>18000</v>
      </c>
      <c r="R34" s="36"/>
      <c r="S34" s="37" t="s">
        <v>47</v>
      </c>
      <c r="T34" s="48"/>
      <c r="U34" s="49"/>
      <c r="V34" s="49"/>
      <c r="W34" s="50"/>
      <c r="X34" s="41">
        <f t="shared" si="0"/>
        <v>0</v>
      </c>
      <c r="Y34" s="41">
        <f>IF(L34="0,00%","0",IF(L34&gt;1,1,0))</f>
        <v>0</v>
      </c>
      <c r="Z34" s="41">
        <f>IF($H$6="tak",0,IF(AND(I34&gt;0,L34&lt;70%),1,0))</f>
        <v>0</v>
      </c>
      <c r="AA34" s="41">
        <f>IF(ISERROR(IF(F34&gt;0,YEAR(F34),"")),"",IF(F34&gt;0,YEAR(F34),""))</f>
        <v>2021</v>
      </c>
      <c r="AB34" s="41">
        <f>IF(ISERROR(IF(G34&gt;0,YEAR(G34),"")),"",IF(G34&gt;0,YEAR(G34),""))</f>
        <v>2021</v>
      </c>
      <c r="AC34" s="41">
        <v>0</v>
      </c>
      <c r="AD34" s="41"/>
      <c r="AE34" s="41">
        <f>(I35+I36+I32+I33)</f>
        <v>250000</v>
      </c>
      <c r="AF34" s="41">
        <f>(AG35+AG36+AG32+AG33)</f>
        <v>250000</v>
      </c>
      <c r="AG34" s="41">
        <f t="shared" si="1"/>
        <v>0</v>
      </c>
      <c r="AH34" s="41">
        <f>J34</f>
        <v>0</v>
      </c>
      <c r="AI34" s="41">
        <f>K34</f>
        <v>0</v>
      </c>
      <c r="AJ34" s="41">
        <f>(N35+N36+N32+N33)</f>
        <v>102000</v>
      </c>
      <c r="AK34" s="41"/>
      <c r="AL34" s="41">
        <f>IF(AJ34=1,$AK$77,0)</f>
        <v>0</v>
      </c>
      <c r="AM34" s="41">
        <f>IF(AJ34=1,$AK$78,0)</f>
        <v>0</v>
      </c>
      <c r="AN34" s="41"/>
      <c r="AO34" s="41">
        <f>IF(AND(AF34=$H$9,AG34&lt;&gt;0,C34&lt;&gt;1900),1,0)</f>
        <v>0</v>
      </c>
      <c r="AP34" s="41"/>
      <c r="AQ34" s="41">
        <f>IF(AO34=1,$AL$77,0)</f>
        <v>0</v>
      </c>
      <c r="AR34" s="41">
        <f>IF(AO34=1,$AL$78,0)</f>
        <v>0</v>
      </c>
      <c r="AS34" s="41"/>
      <c r="AT34" s="41">
        <f>IF(AND(G34=$H$16,I34&lt;&gt;0),1,0)</f>
        <v>0</v>
      </c>
    </row>
    <row r="35" spans="2:46" ht="30" customHeight="1">
      <c r="B35" s="123"/>
      <c r="C35" s="124"/>
      <c r="D35" s="125"/>
      <c r="E35" s="126"/>
      <c r="F35" s="127"/>
      <c r="G35" s="128"/>
      <c r="H35" s="51" t="s">
        <v>48</v>
      </c>
      <c r="I35" s="42">
        <f>IFERROR(J35+K35,0)</f>
        <v>0</v>
      </c>
      <c r="J35" s="43">
        <f>IFERROR(AH35+AQ34,0)</f>
        <v>0</v>
      </c>
      <c r="K35" s="43">
        <f>IFERROR(AI35,0)</f>
        <v>0</v>
      </c>
      <c r="L35" s="44" t="str">
        <f>IF(ISERROR(I35/I34),"-",I35/I34)</f>
        <v>-</v>
      </c>
      <c r="M35" s="34" t="s">
        <v>48</v>
      </c>
      <c r="N35" s="42">
        <f>SUM(O35:P35)</f>
        <v>102000</v>
      </c>
      <c r="O35" s="45">
        <v>102000</v>
      </c>
      <c r="P35" s="45">
        <v>0</v>
      </c>
      <c r="Q35" s="58"/>
      <c r="R35" s="44">
        <f>IF(ISERROR(N35/(N34-Q34)),"-",(N35/(N34-Q34)))</f>
        <v>1</v>
      </c>
      <c r="S35" s="47" t="s">
        <v>48</v>
      </c>
      <c r="T35" s="48"/>
      <c r="U35" s="49"/>
      <c r="V35" s="49"/>
      <c r="W35" s="50"/>
      <c r="X35" s="41">
        <f t="shared" si="0"/>
        <v>0</v>
      </c>
      <c r="Y35" s="41"/>
      <c r="Z35" s="41"/>
      <c r="AA35" s="41"/>
      <c r="AB35" s="41"/>
      <c r="AC35" s="41"/>
      <c r="AD35" s="41"/>
      <c r="AE35" s="41"/>
      <c r="AF35" s="41"/>
      <c r="AG35" s="41">
        <f t="shared" si="1"/>
        <v>0</v>
      </c>
      <c r="AH35" s="41">
        <f>ROUND(AH34*$Q$11,2)</f>
        <v>0</v>
      </c>
      <c r="AI35" s="41">
        <f>ROUND(AI34*$Q$11,2)</f>
        <v>0</v>
      </c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</row>
    <row r="36" spans="2:46" ht="30" customHeight="1">
      <c r="B36" s="123"/>
      <c r="C36" s="124"/>
      <c r="D36" s="125"/>
      <c r="E36" s="126"/>
      <c r="F36" s="127"/>
      <c r="G36" s="128"/>
      <c r="H36" s="51" t="s">
        <v>50</v>
      </c>
      <c r="I36" s="52">
        <f>IFERROR(J36+K36,0)</f>
        <v>0</v>
      </c>
      <c r="J36" s="53">
        <f>IFERROR(AH36+AR34,0)</f>
        <v>0</v>
      </c>
      <c r="K36" s="53">
        <f>IFERROR(AI36,0)</f>
        <v>0</v>
      </c>
      <c r="L36" s="44" t="str">
        <f>IF(ISERROR(I36/I34),"-",I36/I34)</f>
        <v>-</v>
      </c>
      <c r="M36" s="34" t="s">
        <v>50</v>
      </c>
      <c r="N36" s="54">
        <f>SUM(O36:P36)</f>
        <v>0</v>
      </c>
      <c r="O36" s="45">
        <v>0</v>
      </c>
      <c r="P36" s="45">
        <v>0</v>
      </c>
      <c r="Q36" s="58"/>
      <c r="R36" s="44">
        <f>IF(ISERROR(N36/(N34-Q34)),"-",(N36/(N34-Q34)))</f>
        <v>0</v>
      </c>
      <c r="S36" s="56" t="s">
        <v>50</v>
      </c>
      <c r="T36" s="48"/>
      <c r="U36" s="49"/>
      <c r="V36" s="49"/>
      <c r="W36" s="50"/>
      <c r="X36" s="41">
        <f t="shared" si="0"/>
        <v>0</v>
      </c>
      <c r="Y36" s="41"/>
      <c r="Z36" s="41"/>
      <c r="AA36" s="41"/>
      <c r="AB36" s="41"/>
      <c r="AC36" s="41"/>
      <c r="AD36" s="41"/>
      <c r="AE36" s="41"/>
      <c r="AF36" s="41"/>
      <c r="AG36" s="41">
        <f t="shared" si="1"/>
        <v>0</v>
      </c>
      <c r="AH36" s="41">
        <f>ROUND(AH34*$Q$12,2)</f>
        <v>0</v>
      </c>
      <c r="AI36" s="41">
        <f>ROUND(AI34*$Q$12,2)</f>
        <v>0</v>
      </c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</row>
    <row r="37" spans="2:46" ht="30" customHeight="1">
      <c r="B37" s="123">
        <v>3</v>
      </c>
      <c r="C37" s="124">
        <f>YEAR(G37)</f>
        <v>2021</v>
      </c>
      <c r="D37" s="125">
        <f>CEILING(MONTH(G37)/3,1)</f>
        <v>2</v>
      </c>
      <c r="E37" s="126">
        <f>G37</f>
        <v>44377</v>
      </c>
      <c r="F37" s="127">
        <f>IF(G34&gt;0,(G34+1),"")</f>
        <v>44287</v>
      </c>
      <c r="G37" s="128">
        <v>44377</v>
      </c>
      <c r="H37" s="51" t="s">
        <v>47</v>
      </c>
      <c r="I37" s="31">
        <f>J37+K37</f>
        <v>202965</v>
      </c>
      <c r="J37" s="32">
        <v>202965</v>
      </c>
      <c r="K37" s="32">
        <v>0</v>
      </c>
      <c r="L37" s="57">
        <f>IF(ISERROR((N38+N39+N35+N36+N32+N33)/(I31+I34)),"0,00%",(N38+N39+N35+N36+N32+N33)/(I31+I34))</f>
        <v>0.88400000000000001</v>
      </c>
      <c r="M37" s="51" t="s">
        <v>47</v>
      </c>
      <c r="N37" s="31">
        <f>SUM(O37:Q37)</f>
        <v>140000</v>
      </c>
      <c r="O37" s="35">
        <f>SUM(O38:O39)</f>
        <v>119000</v>
      </c>
      <c r="P37" s="35">
        <f>SUM(P38:P39)</f>
        <v>0</v>
      </c>
      <c r="Q37" s="32">
        <v>21000</v>
      </c>
      <c r="R37" s="36"/>
      <c r="S37" s="51" t="s">
        <v>47</v>
      </c>
      <c r="T37" s="48"/>
      <c r="U37" s="49"/>
      <c r="V37" s="49"/>
      <c r="W37" s="50"/>
      <c r="X37" s="41">
        <f t="shared" si="0"/>
        <v>0</v>
      </c>
      <c r="Y37" s="41">
        <f>IF(L37="0,00%","0",IF(L37&gt;1,1,0))</f>
        <v>0</v>
      </c>
      <c r="Z37" s="41">
        <f>IF($H$6="tak",0,IF(AND(I37&gt;0,L37&lt;70%),1,0))</f>
        <v>0</v>
      </c>
      <c r="AA37" s="41">
        <f>IF(ISERROR(IF(F37&gt;0,YEAR(F37),"")),"",IF(F37&gt;0,YEAR(F37),""))</f>
        <v>2021</v>
      </c>
      <c r="AB37" s="41">
        <f>IF(ISERROR(IF(G37&gt;0,YEAR(G37),"")),"",IF(G37&gt;0,YEAR(G37),""))</f>
        <v>2021</v>
      </c>
      <c r="AC37" s="41">
        <v>0</v>
      </c>
      <c r="AD37" s="41"/>
      <c r="AE37" s="41">
        <f>(I38+I39+I35+I36+I32+I33)</f>
        <v>452965</v>
      </c>
      <c r="AF37" s="41">
        <f>(AG38+AG39+AG35+AG36+AG32+AG33)</f>
        <v>452965</v>
      </c>
      <c r="AG37" s="41">
        <f t="shared" si="1"/>
        <v>202965</v>
      </c>
      <c r="AH37" s="41">
        <f>J37</f>
        <v>202965</v>
      </c>
      <c r="AI37" s="41">
        <f>K37</f>
        <v>0</v>
      </c>
      <c r="AJ37" s="41">
        <f>(N38+N39+N35+N36+N32+N33)</f>
        <v>221000</v>
      </c>
      <c r="AK37" s="41"/>
      <c r="AL37" s="41">
        <f>IF(AJ37=1,$AK$77,0)</f>
        <v>0</v>
      </c>
      <c r="AM37" s="41">
        <f>IF(AJ37=1,$AK$78,0)</f>
        <v>0</v>
      </c>
      <c r="AN37" s="41"/>
      <c r="AO37" s="41">
        <f>IF(AND(AF37=$H$9,AG37&lt;&gt;0,C37&lt;&gt;1900),1,0)</f>
        <v>0</v>
      </c>
      <c r="AP37" s="41"/>
      <c r="AQ37" s="41">
        <f>IF(AO37=1,$AL$77,0)</f>
        <v>0</v>
      </c>
      <c r="AR37" s="41">
        <f>IF(AO37=1,$AL$78,0)</f>
        <v>0</v>
      </c>
      <c r="AS37" s="41"/>
      <c r="AT37" s="41">
        <f>IF(AND(G37=$H$16,I37&lt;&gt;0),1,0)</f>
        <v>0</v>
      </c>
    </row>
    <row r="38" spans="2:46" ht="30" customHeight="1">
      <c r="B38" s="123"/>
      <c r="C38" s="124"/>
      <c r="D38" s="125"/>
      <c r="E38" s="126"/>
      <c r="F38" s="127"/>
      <c r="G38" s="128"/>
      <c r="H38" s="51" t="s">
        <v>48</v>
      </c>
      <c r="I38" s="42">
        <f>IFERROR(J38+K38,0)</f>
        <v>202965</v>
      </c>
      <c r="J38" s="43">
        <f>IFERROR(AH38+AQ37,0)</f>
        <v>202965</v>
      </c>
      <c r="K38" s="43">
        <f>IFERROR(AI38,0)</f>
        <v>0</v>
      </c>
      <c r="L38" s="44">
        <f>IF(ISERROR(I38/I37),"-",I38/I37)</f>
        <v>1</v>
      </c>
      <c r="M38" s="51" t="s">
        <v>48</v>
      </c>
      <c r="N38" s="42">
        <f>SUM(O38:P38)</f>
        <v>119000</v>
      </c>
      <c r="O38" s="45">
        <v>119000</v>
      </c>
      <c r="P38" s="45">
        <v>0</v>
      </c>
      <c r="Q38" s="46"/>
      <c r="R38" s="44">
        <f>IF(ISERROR(N38/(N37-Q37)),"-",(N38/(N37-Q37)))</f>
        <v>1</v>
      </c>
      <c r="S38" s="51" t="s">
        <v>48</v>
      </c>
      <c r="T38" s="48"/>
      <c r="U38" s="49"/>
      <c r="V38" s="49"/>
      <c r="W38" s="50"/>
      <c r="X38" s="41">
        <f t="shared" si="0"/>
        <v>0</v>
      </c>
      <c r="Y38" s="41"/>
      <c r="Z38" s="41"/>
      <c r="AA38" s="41"/>
      <c r="AB38" s="41"/>
      <c r="AC38" s="41"/>
      <c r="AD38" s="41"/>
      <c r="AE38" s="41"/>
      <c r="AF38" s="41"/>
      <c r="AG38" s="41">
        <f t="shared" si="1"/>
        <v>202965</v>
      </c>
      <c r="AH38" s="41">
        <f>ROUND(AH37*$Q$11,2)</f>
        <v>202965</v>
      </c>
      <c r="AI38" s="41">
        <f>ROUND(AI37*$Q$11,2)</f>
        <v>0</v>
      </c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</row>
    <row r="39" spans="2:46" ht="30" customHeight="1">
      <c r="B39" s="123"/>
      <c r="C39" s="124"/>
      <c r="D39" s="125"/>
      <c r="E39" s="126"/>
      <c r="F39" s="127"/>
      <c r="G39" s="128"/>
      <c r="H39" s="51" t="s">
        <v>50</v>
      </c>
      <c r="I39" s="52">
        <f>IFERROR(J39+K39,0)</f>
        <v>0</v>
      </c>
      <c r="J39" s="53">
        <f>IFERROR(AH39+AR37,0)</f>
        <v>0</v>
      </c>
      <c r="K39" s="53">
        <f>IFERROR(AI39,0)</f>
        <v>0</v>
      </c>
      <c r="L39" s="44">
        <f>IF(ISERROR(I39/I37),"-",I39/I37)</f>
        <v>0</v>
      </c>
      <c r="M39" s="51" t="s">
        <v>50</v>
      </c>
      <c r="N39" s="54">
        <f>SUM(O39:P39)</f>
        <v>0</v>
      </c>
      <c r="O39" s="45">
        <v>0</v>
      </c>
      <c r="P39" s="45">
        <v>0</v>
      </c>
      <c r="Q39" s="55"/>
      <c r="R39" s="44">
        <f>IF(ISERROR(N39/(N37-Q37)),"-",(N39/(N37-Q37)))</f>
        <v>0</v>
      </c>
      <c r="S39" s="51" t="s">
        <v>50</v>
      </c>
      <c r="T39" s="48"/>
      <c r="U39" s="49"/>
      <c r="V39" s="49"/>
      <c r="W39" s="50"/>
      <c r="X39" s="41">
        <f t="shared" si="0"/>
        <v>0</v>
      </c>
      <c r="Y39" s="41"/>
      <c r="Z39" s="41"/>
      <c r="AA39" s="41"/>
      <c r="AB39" s="41"/>
      <c r="AC39" s="41"/>
      <c r="AD39" s="41"/>
      <c r="AE39" s="41"/>
      <c r="AF39" s="41"/>
      <c r="AG39" s="41">
        <f t="shared" si="1"/>
        <v>0</v>
      </c>
      <c r="AH39" s="41">
        <f>ROUND(AH37*$Q$12,2)</f>
        <v>0</v>
      </c>
      <c r="AI39" s="41">
        <f>ROUND(AI37*$Q$12,2)</f>
        <v>0</v>
      </c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</row>
    <row r="40" spans="2:46" ht="30" customHeight="1">
      <c r="B40" s="123">
        <v>4</v>
      </c>
      <c r="C40" s="124">
        <f>YEAR(G40)</f>
        <v>2021</v>
      </c>
      <c r="D40" s="125">
        <f>CEILING(MONTH(G40)/3,1)</f>
        <v>3</v>
      </c>
      <c r="E40" s="126">
        <f>G40</f>
        <v>44469</v>
      </c>
      <c r="F40" s="127">
        <f>IF(G37&gt;0,(G37+1),"")</f>
        <v>44378</v>
      </c>
      <c r="G40" s="128">
        <v>44469</v>
      </c>
      <c r="H40" s="51" t="s">
        <v>47</v>
      </c>
      <c r="I40" s="31">
        <f>J40+K40</f>
        <v>0</v>
      </c>
      <c r="J40" s="32">
        <v>0</v>
      </c>
      <c r="K40" s="32">
        <v>0</v>
      </c>
      <c r="L40" s="57">
        <f>IF(ISERROR((N41+N42+N38+N39+N35+N36+N32+N33)/(I37+I31+I34)),"0,00%",(N41+N42+N38+N39+N35+N36+N32+N33)/(I37+I31+I34))</f>
        <v>0.75060987051979733</v>
      </c>
      <c r="M40" s="51" t="s">
        <v>47</v>
      </c>
      <c r="N40" s="31">
        <f>SUM(O40:Q40)</f>
        <v>140000</v>
      </c>
      <c r="O40" s="35">
        <f>SUM(O41:O42)</f>
        <v>119000</v>
      </c>
      <c r="P40" s="35">
        <f>SUM(P41:P42)</f>
        <v>0</v>
      </c>
      <c r="Q40" s="32">
        <v>21000</v>
      </c>
      <c r="R40" s="36"/>
      <c r="S40" s="51" t="s">
        <v>47</v>
      </c>
      <c r="T40" s="48"/>
      <c r="U40" s="49"/>
      <c r="V40" s="49"/>
      <c r="W40" s="50"/>
      <c r="X40" s="41">
        <f t="shared" si="0"/>
        <v>0</v>
      </c>
      <c r="Y40" s="41">
        <f>IF(L40="0,00%","0",IF(L40&gt;1,1,0))</f>
        <v>0</v>
      </c>
      <c r="Z40" s="41">
        <f>IF($H$6="tak",0,IF(AND(I40&gt;0,L40&lt;70%),1,0))</f>
        <v>0</v>
      </c>
      <c r="AA40" s="41">
        <f>IF(ISERROR(IF(F40&gt;0,YEAR(F40),"")),"",IF(F40&gt;0,YEAR(F40),""))</f>
        <v>2021</v>
      </c>
      <c r="AB40" s="41">
        <f>IF(ISERROR(IF(G40&gt;0,YEAR(G40),"")),"",IF(G40&gt;0,YEAR(G40),""))</f>
        <v>2021</v>
      </c>
      <c r="AC40" s="41">
        <v>0</v>
      </c>
      <c r="AD40" s="41"/>
      <c r="AE40" s="41">
        <f>(I41+I42+I38+I39+I35+I36+I32+I33)</f>
        <v>452965</v>
      </c>
      <c r="AF40" s="41">
        <f>(AG41+AG42+AG38+AG39+AG35+AG36+AG32+AG33)</f>
        <v>452965</v>
      </c>
      <c r="AG40" s="41">
        <f t="shared" si="1"/>
        <v>0</v>
      </c>
      <c r="AH40" s="41">
        <f>J40</f>
        <v>0</v>
      </c>
      <c r="AI40" s="41">
        <f>K40</f>
        <v>0</v>
      </c>
      <c r="AJ40" s="41">
        <f>(N41+N42+N38+N39+N35+N36+N32+N33)</f>
        <v>340000</v>
      </c>
      <c r="AK40" s="41"/>
      <c r="AL40" s="41">
        <f>IF(AJ40=1,$AK$77,0)</f>
        <v>0</v>
      </c>
      <c r="AM40" s="41">
        <f>IF(AJ40=1,$AK$78,0)</f>
        <v>0</v>
      </c>
      <c r="AN40" s="41"/>
      <c r="AO40" s="41">
        <f>IF(AND(AF40=$H$9,AG40&lt;&gt;0,C40&lt;&gt;1900),1,0)</f>
        <v>0</v>
      </c>
      <c r="AP40" s="41"/>
      <c r="AQ40" s="41">
        <f>IF(AO40=1,$AL$77,0)</f>
        <v>0</v>
      </c>
      <c r="AR40" s="41">
        <f>IF(AO40=1,$AL$78,0)</f>
        <v>0</v>
      </c>
      <c r="AS40" s="41"/>
      <c r="AT40" s="41">
        <f>IF(AND(G40=$H$16,I40&lt;&gt;0),1,0)</f>
        <v>0</v>
      </c>
    </row>
    <row r="41" spans="2:46" ht="30" customHeight="1">
      <c r="B41" s="123"/>
      <c r="C41" s="124"/>
      <c r="D41" s="125"/>
      <c r="E41" s="126"/>
      <c r="F41" s="127"/>
      <c r="G41" s="128"/>
      <c r="H41" s="51" t="s">
        <v>48</v>
      </c>
      <c r="I41" s="42">
        <f>IFERROR(J41+K41,0)</f>
        <v>0</v>
      </c>
      <c r="J41" s="43">
        <f>IFERROR(AH41+AQ40,0)</f>
        <v>0</v>
      </c>
      <c r="K41" s="43">
        <f>IFERROR(AI41,0)</f>
        <v>0</v>
      </c>
      <c r="L41" s="44" t="str">
        <f>IF(ISERROR(I41/I40),"-",I41/I40)</f>
        <v>-</v>
      </c>
      <c r="M41" s="51" t="s">
        <v>48</v>
      </c>
      <c r="N41" s="42">
        <f>SUM(O41:P41)</f>
        <v>119000</v>
      </c>
      <c r="O41" s="45">
        <v>119000</v>
      </c>
      <c r="P41" s="45">
        <v>0</v>
      </c>
      <c r="Q41" s="46"/>
      <c r="R41" s="44">
        <f>IF(ISERROR(N41/(N40-Q40)),"-",(N41/(N40-Q40)))</f>
        <v>1</v>
      </c>
      <c r="S41" s="51" t="s">
        <v>48</v>
      </c>
      <c r="T41" s="48"/>
      <c r="U41" s="49"/>
      <c r="V41" s="49"/>
      <c r="W41" s="50"/>
      <c r="X41" s="41">
        <f t="shared" si="0"/>
        <v>0</v>
      </c>
      <c r="Y41" s="41"/>
      <c r="Z41" s="41"/>
      <c r="AA41" s="41"/>
      <c r="AB41" s="41"/>
      <c r="AC41" s="41"/>
      <c r="AD41" s="41"/>
      <c r="AE41" s="41"/>
      <c r="AF41" s="41"/>
      <c r="AG41" s="41">
        <f t="shared" si="1"/>
        <v>0</v>
      </c>
      <c r="AH41" s="41">
        <f>ROUND(AH40*$Q$11,2)</f>
        <v>0</v>
      </c>
      <c r="AI41" s="41">
        <f>ROUND(AI40*$Q$11,2)</f>
        <v>0</v>
      </c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</row>
    <row r="42" spans="2:46" ht="30" customHeight="1">
      <c r="B42" s="123"/>
      <c r="C42" s="124"/>
      <c r="D42" s="125"/>
      <c r="E42" s="126"/>
      <c r="F42" s="127"/>
      <c r="G42" s="128"/>
      <c r="H42" s="51" t="s">
        <v>50</v>
      </c>
      <c r="I42" s="52">
        <f>IFERROR(J42+K42,0)</f>
        <v>0</v>
      </c>
      <c r="J42" s="53">
        <f>IFERROR(AH42+AR40,0)</f>
        <v>0</v>
      </c>
      <c r="K42" s="53">
        <f>IFERROR(AI42,0)</f>
        <v>0</v>
      </c>
      <c r="L42" s="44" t="str">
        <f>IF(ISERROR(I42/I40),"-",I42/I40)</f>
        <v>-</v>
      </c>
      <c r="M42" s="51" t="s">
        <v>50</v>
      </c>
      <c r="N42" s="54">
        <f>SUM(O42:P42)</f>
        <v>0</v>
      </c>
      <c r="O42" s="45">
        <v>0</v>
      </c>
      <c r="P42" s="45">
        <v>0</v>
      </c>
      <c r="Q42" s="55"/>
      <c r="R42" s="44">
        <f>IF(ISERROR(N42/(N40-Q40)),"-",(N42/(N40-Q40)))</f>
        <v>0</v>
      </c>
      <c r="S42" s="51" t="s">
        <v>50</v>
      </c>
      <c r="T42" s="48"/>
      <c r="U42" s="49"/>
      <c r="V42" s="49"/>
      <c r="W42" s="50"/>
      <c r="X42" s="41">
        <f t="shared" si="0"/>
        <v>0</v>
      </c>
      <c r="Y42" s="41"/>
      <c r="Z42" s="41"/>
      <c r="AA42" s="41"/>
      <c r="AB42" s="41"/>
      <c r="AC42" s="41"/>
      <c r="AD42" s="41"/>
      <c r="AE42" s="41"/>
      <c r="AF42" s="41"/>
      <c r="AG42" s="41">
        <f t="shared" si="1"/>
        <v>0</v>
      </c>
      <c r="AH42" s="41">
        <f>ROUND(AH40*$Q$12,2)</f>
        <v>0</v>
      </c>
      <c r="AI42" s="41">
        <f>ROUND(AI40*$Q$12,2)</f>
        <v>0</v>
      </c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</row>
    <row r="43" spans="2:46" ht="30" customHeight="1">
      <c r="B43" s="123">
        <v>5</v>
      </c>
      <c r="C43" s="124">
        <f>YEAR(G43)</f>
        <v>2021</v>
      </c>
      <c r="D43" s="125">
        <f>CEILING(MONTH(G43)/3,1)</f>
        <v>4</v>
      </c>
      <c r="E43" s="126">
        <f>G43</f>
        <v>44561</v>
      </c>
      <c r="F43" s="127">
        <f>IF(G40&gt;0,(G40+1),"")</f>
        <v>44470</v>
      </c>
      <c r="G43" s="128">
        <v>44561</v>
      </c>
      <c r="H43" s="51" t="s">
        <v>47</v>
      </c>
      <c r="I43" s="31">
        <f>J43+K43</f>
        <v>250000</v>
      </c>
      <c r="J43" s="32">
        <v>250000</v>
      </c>
      <c r="K43" s="32">
        <v>0</v>
      </c>
      <c r="L43" s="57">
        <f>IF(ISERROR((N44+N45+N41+N42+N32+N33+N38+N39+N35+N36)/(I40+I37+I31+I34)),"0,00%",(N44+N45+N41+N42+N32+N33+N38+N39+N35+N36)/(I40+I37+I31+I34))</f>
        <v>1</v>
      </c>
      <c r="M43" s="51" t="s">
        <v>47</v>
      </c>
      <c r="N43" s="31">
        <f>SUM(O43:Q43)</f>
        <v>132900</v>
      </c>
      <c r="O43" s="35">
        <f>SUM(O44:O45)</f>
        <v>112965</v>
      </c>
      <c r="P43" s="35">
        <f>SUM(P44:P45)</f>
        <v>0</v>
      </c>
      <c r="Q43" s="32">
        <v>19935</v>
      </c>
      <c r="R43" s="36"/>
      <c r="S43" s="51" t="s">
        <v>47</v>
      </c>
      <c r="T43" s="48"/>
      <c r="U43" s="49"/>
      <c r="V43" s="49"/>
      <c r="W43" s="50"/>
      <c r="X43" s="41">
        <f t="shared" si="0"/>
        <v>0</v>
      </c>
      <c r="Y43" s="41">
        <f>IF(L43="0,00%","0",IF(L43&gt;1,1,0))</f>
        <v>0</v>
      </c>
      <c r="Z43" s="41">
        <f>IF($H$6="tak",0,IF(AND(I43&gt;0,L43&lt;70%),1,0))</f>
        <v>0</v>
      </c>
      <c r="AA43" s="41">
        <f>IF(ISERROR(IF(F43&gt;0,YEAR(F43),"")),"",IF(F43&gt;0,YEAR(F43),""))</f>
        <v>2021</v>
      </c>
      <c r="AB43" s="41">
        <f>IF(ISERROR(IF(G43&gt;0,YEAR(G43),"")),"",IF(G43&gt;0,YEAR(G43),""))</f>
        <v>2021</v>
      </c>
      <c r="AC43" s="41">
        <v>0</v>
      </c>
      <c r="AD43" s="41"/>
      <c r="AE43" s="41">
        <f>(I44+I45+I41+I42+I32+I33+I38+I39+I35+I36)</f>
        <v>702965</v>
      </c>
      <c r="AF43" s="41">
        <f>(AG44+AG45+AG41+AG42+AG32+AG33+AG38+AG39+AG35+AG36)</f>
        <v>702965</v>
      </c>
      <c r="AG43" s="41">
        <f t="shared" si="1"/>
        <v>250000</v>
      </c>
      <c r="AH43" s="41">
        <f>J43</f>
        <v>250000</v>
      </c>
      <c r="AI43" s="41">
        <f>K43</f>
        <v>0</v>
      </c>
      <c r="AJ43" s="41">
        <f>(N44+N45+N41+N42+N32+N33+N38+N39+N35+N36)</f>
        <v>452965</v>
      </c>
      <c r="AK43" s="41"/>
      <c r="AL43" s="41">
        <f>IF(AJ43=1,$AK$77,0)</f>
        <v>0</v>
      </c>
      <c r="AM43" s="41">
        <f>IF(AJ43=1,$AK$78,0)</f>
        <v>0</v>
      </c>
      <c r="AN43" s="41"/>
      <c r="AO43" s="41">
        <f>IF(AND(AF43=$H$9,AG43&lt;&gt;0,C43&lt;&gt;1900),1,0)</f>
        <v>0</v>
      </c>
      <c r="AP43" s="41"/>
      <c r="AQ43" s="41">
        <f>IF(AO43=1,$AL$77,0)</f>
        <v>0</v>
      </c>
      <c r="AR43" s="41">
        <f>IF(AO43=1,$AL$78,0)</f>
        <v>0</v>
      </c>
      <c r="AS43" s="41"/>
      <c r="AT43" s="41">
        <f>IF(AND(G43=$H$16,I43&lt;&gt;0),1,0)</f>
        <v>0</v>
      </c>
    </row>
    <row r="44" spans="2:46" ht="30" customHeight="1">
      <c r="B44" s="123"/>
      <c r="C44" s="124"/>
      <c r="D44" s="125"/>
      <c r="E44" s="126"/>
      <c r="F44" s="127"/>
      <c r="G44" s="128"/>
      <c r="H44" s="51" t="s">
        <v>48</v>
      </c>
      <c r="I44" s="42">
        <f>IFERROR(J44+K44,0)</f>
        <v>250000</v>
      </c>
      <c r="J44" s="43">
        <f>IFERROR(AH44+AQ43,0)</f>
        <v>250000</v>
      </c>
      <c r="K44" s="43">
        <f>IFERROR(AI44,0)</f>
        <v>0</v>
      </c>
      <c r="L44" s="44">
        <f>IF(ISERROR(I44/I43),"-",I44/I43)</f>
        <v>1</v>
      </c>
      <c r="M44" s="51" t="s">
        <v>48</v>
      </c>
      <c r="N44" s="42">
        <f>SUM(O44:P44)</f>
        <v>112965</v>
      </c>
      <c r="O44" s="45">
        <v>112965</v>
      </c>
      <c r="P44" s="45">
        <v>0</v>
      </c>
      <c r="Q44" s="46"/>
      <c r="R44" s="44">
        <f>IF(ISERROR(N44/(N43-Q43)),"-",(N44/(N43-Q43)))</f>
        <v>1</v>
      </c>
      <c r="S44" s="51" t="s">
        <v>48</v>
      </c>
      <c r="T44" s="48"/>
      <c r="U44" s="49"/>
      <c r="V44" s="49"/>
      <c r="W44" s="50"/>
      <c r="X44" s="41">
        <f t="shared" si="0"/>
        <v>0</v>
      </c>
      <c r="Y44" s="41"/>
      <c r="Z44" s="41"/>
      <c r="AA44" s="41"/>
      <c r="AB44" s="41"/>
      <c r="AC44" s="41"/>
      <c r="AD44" s="41"/>
      <c r="AE44" s="41"/>
      <c r="AF44" s="41"/>
      <c r="AG44" s="41">
        <f t="shared" si="1"/>
        <v>250000</v>
      </c>
      <c r="AH44" s="41">
        <f>ROUND(AH43*$Q$11,2)</f>
        <v>250000</v>
      </c>
      <c r="AI44" s="41">
        <f>ROUND(AI43*$Q$11,2)</f>
        <v>0</v>
      </c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</row>
    <row r="45" spans="2:46" ht="30" customHeight="1">
      <c r="B45" s="123"/>
      <c r="C45" s="124"/>
      <c r="D45" s="125"/>
      <c r="E45" s="126"/>
      <c r="F45" s="127"/>
      <c r="G45" s="128"/>
      <c r="H45" s="51" t="s">
        <v>50</v>
      </c>
      <c r="I45" s="52">
        <f>IFERROR(J45+K45,0)</f>
        <v>0</v>
      </c>
      <c r="J45" s="53">
        <f>IFERROR(AH45+AR43,0)</f>
        <v>0</v>
      </c>
      <c r="K45" s="53">
        <f>IFERROR(AI45,0)</f>
        <v>0</v>
      </c>
      <c r="L45" s="44">
        <f>IF(ISERROR(I45/I43),"-",I45/I43)</f>
        <v>0</v>
      </c>
      <c r="M45" s="51" t="s">
        <v>50</v>
      </c>
      <c r="N45" s="54">
        <f>SUM(O45:P45)</f>
        <v>0</v>
      </c>
      <c r="O45" s="45">
        <v>0</v>
      </c>
      <c r="P45" s="45">
        <v>0</v>
      </c>
      <c r="Q45" s="55"/>
      <c r="R45" s="44">
        <f>IF(ISERROR(N45/(N43-Q43)),"-",(N45/(N43-Q43)))</f>
        <v>0</v>
      </c>
      <c r="S45" s="51" t="s">
        <v>50</v>
      </c>
      <c r="T45" s="48"/>
      <c r="U45" s="49"/>
      <c r="V45" s="49"/>
      <c r="W45" s="50"/>
      <c r="X45" s="41">
        <f t="shared" si="0"/>
        <v>0</v>
      </c>
      <c r="Y45" s="41"/>
      <c r="Z45" s="41"/>
      <c r="AA45" s="41"/>
      <c r="AB45" s="41"/>
      <c r="AC45" s="41"/>
      <c r="AD45" s="41"/>
      <c r="AE45" s="41"/>
      <c r="AF45" s="41"/>
      <c r="AG45" s="41">
        <f t="shared" si="1"/>
        <v>0</v>
      </c>
      <c r="AH45" s="41">
        <f>ROUND(AH43*$Q$12,2)</f>
        <v>0</v>
      </c>
      <c r="AI45" s="41">
        <f>ROUND(AI43*$Q$12,2)</f>
        <v>0</v>
      </c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1"/>
    </row>
    <row r="46" spans="2:46" ht="30" customHeight="1">
      <c r="B46" s="123">
        <v>6</v>
      </c>
      <c r="C46" s="124">
        <f>YEAR(G46)</f>
        <v>2022</v>
      </c>
      <c r="D46" s="125">
        <f>CEILING(MONTH(G46)/3,1)</f>
        <v>1</v>
      </c>
      <c r="E46" s="126">
        <f>G46</f>
        <v>44651</v>
      </c>
      <c r="F46" s="127">
        <f>IF(G43&gt;0,(G43+1),"")</f>
        <v>44562</v>
      </c>
      <c r="G46" s="128">
        <v>44651</v>
      </c>
      <c r="H46" s="51" t="s">
        <v>47</v>
      </c>
      <c r="I46" s="31">
        <f>J46+K46</f>
        <v>0</v>
      </c>
      <c r="J46" s="32">
        <v>0</v>
      </c>
      <c r="K46" s="32">
        <v>0</v>
      </c>
      <c r="L46" s="57">
        <f>IF(ISERROR((N47+N48+N44+N45+N38+N39+N41+N42+N32+N33+N35+N36)/(I43+I40+I37+I31+I34)),"0,00%",(N47+N48+N44+N45+N38+N39+N41+N42+N32+N33+N35+N36)/(I43+I40+I37+I31+I34))</f>
        <v>0.78946320229314404</v>
      </c>
      <c r="M46" s="51" t="s">
        <v>47</v>
      </c>
      <c r="N46" s="31">
        <f>SUM(O46:Q46)</f>
        <v>120000</v>
      </c>
      <c r="O46" s="35">
        <f>SUM(O47:O48)</f>
        <v>102000</v>
      </c>
      <c r="P46" s="35">
        <f>SUM(P47:P48)</f>
        <v>0</v>
      </c>
      <c r="Q46" s="32">
        <v>18000</v>
      </c>
      <c r="R46" s="36"/>
      <c r="S46" s="51" t="s">
        <v>47</v>
      </c>
      <c r="T46" s="48"/>
      <c r="U46" s="49"/>
      <c r="V46" s="49"/>
      <c r="W46" s="50"/>
      <c r="X46" s="41">
        <f t="shared" si="0"/>
        <v>0</v>
      </c>
      <c r="Y46" s="41">
        <f>IF(L46="0,00%","0",IF(L46&gt;1,1,0))</f>
        <v>0</v>
      </c>
      <c r="Z46" s="41">
        <f>IF($H$6="tak",0,IF(AND(I46&gt;0,L46&lt;70%),1,0))</f>
        <v>0</v>
      </c>
      <c r="AA46" s="41">
        <f>IF(ISERROR(IF(F46&gt;0,YEAR(F46),"")),"",IF(F46&gt;0,YEAR(F46),""))</f>
        <v>2022</v>
      </c>
      <c r="AB46" s="41">
        <f>IF(ISERROR(IF(G46&gt;0,YEAR(G46),"")),"",IF(G46&gt;0,YEAR(G46),""))</f>
        <v>2022</v>
      </c>
      <c r="AC46" s="41">
        <v>0</v>
      </c>
      <c r="AD46" s="41"/>
      <c r="AE46" s="41">
        <f>(I47+I48+I44+I45+I38+I39+I41+I42+I32+I33+I35+I36)</f>
        <v>702965</v>
      </c>
      <c r="AF46" s="41">
        <f>(AG47+AG48+AG44+AG45+AG38+AG39+AG41+AG42+AG32+AG33+AG35+AG36)</f>
        <v>702965</v>
      </c>
      <c r="AG46" s="41">
        <f t="shared" si="1"/>
        <v>0</v>
      </c>
      <c r="AH46" s="41">
        <f>J46</f>
        <v>0</v>
      </c>
      <c r="AI46" s="41">
        <f>K46</f>
        <v>0</v>
      </c>
      <c r="AJ46" s="41">
        <f>(N47+N48+N44+N45+N38+N39+N41+N42+N32+N33+N35+N36)</f>
        <v>554965</v>
      </c>
      <c r="AK46" s="41"/>
      <c r="AL46" s="41">
        <f>IF(AJ46=1,$AK$77,0)</f>
        <v>0</v>
      </c>
      <c r="AM46" s="41">
        <f>IF(AJ46=1,$AK$78,0)</f>
        <v>0</v>
      </c>
      <c r="AN46" s="41"/>
      <c r="AO46" s="41">
        <f>IF(AND(AF46=$H$9,AG46&lt;&gt;0,C46&lt;&gt;1900),1,0)</f>
        <v>0</v>
      </c>
      <c r="AP46" s="41"/>
      <c r="AQ46" s="41">
        <f>IF(AO46=1,$AL$77,0)</f>
        <v>0</v>
      </c>
      <c r="AR46" s="41">
        <f>IF(AO46=1,$AL$78,0)</f>
        <v>0</v>
      </c>
      <c r="AS46" s="41"/>
      <c r="AT46" s="41">
        <f>IF(AND(G46=$H$16,I46&lt;&gt;0),1,0)</f>
        <v>0</v>
      </c>
    </row>
    <row r="47" spans="2:46" ht="30" customHeight="1">
      <c r="B47" s="123"/>
      <c r="C47" s="124"/>
      <c r="D47" s="125"/>
      <c r="E47" s="126"/>
      <c r="F47" s="127"/>
      <c r="G47" s="128"/>
      <c r="H47" s="51" t="s">
        <v>48</v>
      </c>
      <c r="I47" s="42">
        <f>IFERROR(J47+K47,0)</f>
        <v>0</v>
      </c>
      <c r="J47" s="43">
        <f>IFERROR(AH47+AQ46,0)</f>
        <v>0</v>
      </c>
      <c r="K47" s="43">
        <f>IFERROR(AI47,0)</f>
        <v>0</v>
      </c>
      <c r="L47" s="44" t="str">
        <f>IF(ISERROR(I47/I46),"-",I47/I46)</f>
        <v>-</v>
      </c>
      <c r="M47" s="51" t="s">
        <v>48</v>
      </c>
      <c r="N47" s="42">
        <f>SUM(O47:P47)</f>
        <v>102000</v>
      </c>
      <c r="O47" s="45">
        <v>102000</v>
      </c>
      <c r="P47" s="45">
        <v>0</v>
      </c>
      <c r="Q47" s="46"/>
      <c r="R47" s="44">
        <f>IF(ISERROR(N47/(N46-Q46)),"-",(N47/(N46-Q46)))</f>
        <v>1</v>
      </c>
      <c r="S47" s="51" t="s">
        <v>48</v>
      </c>
      <c r="T47" s="48"/>
      <c r="U47" s="49"/>
      <c r="V47" s="49"/>
      <c r="W47" s="50"/>
      <c r="X47" s="41">
        <f t="shared" si="0"/>
        <v>0</v>
      </c>
      <c r="Y47" s="41"/>
      <c r="Z47" s="41"/>
      <c r="AA47" s="41"/>
      <c r="AB47" s="41"/>
      <c r="AC47" s="41"/>
      <c r="AD47" s="41"/>
      <c r="AE47" s="41"/>
      <c r="AF47" s="41"/>
      <c r="AG47" s="41">
        <f t="shared" si="1"/>
        <v>0</v>
      </c>
      <c r="AH47" s="41">
        <f>ROUND(AH46*$Q$11,2)</f>
        <v>0</v>
      </c>
      <c r="AI47" s="41">
        <f>ROUND(AI46*$Q$11,2)</f>
        <v>0</v>
      </c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</row>
    <row r="48" spans="2:46" ht="30" customHeight="1">
      <c r="B48" s="123"/>
      <c r="C48" s="124"/>
      <c r="D48" s="125"/>
      <c r="E48" s="126"/>
      <c r="F48" s="127"/>
      <c r="G48" s="128"/>
      <c r="H48" s="51" t="s">
        <v>50</v>
      </c>
      <c r="I48" s="52">
        <f>IFERROR(J48+K48,0)</f>
        <v>0</v>
      </c>
      <c r="J48" s="53">
        <f>IFERROR(AH48+AR46,0)</f>
        <v>0</v>
      </c>
      <c r="K48" s="53">
        <f>IFERROR(AI48,0)</f>
        <v>0</v>
      </c>
      <c r="L48" s="44" t="str">
        <f>IF(ISERROR(I48/I46),"-",I48/I46)</f>
        <v>-</v>
      </c>
      <c r="M48" s="51" t="s">
        <v>50</v>
      </c>
      <c r="N48" s="54">
        <f>SUM(O48:P48)</f>
        <v>0</v>
      </c>
      <c r="O48" s="45">
        <v>0</v>
      </c>
      <c r="P48" s="45">
        <v>0</v>
      </c>
      <c r="Q48" s="55"/>
      <c r="R48" s="44">
        <f>IF(ISERROR(N48/(N46-Q46)),"-",(N48/(N46-Q46)))</f>
        <v>0</v>
      </c>
      <c r="S48" s="51" t="s">
        <v>50</v>
      </c>
      <c r="T48" s="48"/>
      <c r="U48" s="49"/>
      <c r="V48" s="49"/>
      <c r="W48" s="50"/>
      <c r="X48" s="41">
        <f t="shared" si="0"/>
        <v>0</v>
      </c>
      <c r="Y48" s="41"/>
      <c r="Z48" s="41"/>
      <c r="AA48" s="41"/>
      <c r="AB48" s="41"/>
      <c r="AC48" s="41"/>
      <c r="AD48" s="41"/>
      <c r="AE48" s="41"/>
      <c r="AF48" s="41"/>
      <c r="AG48" s="41">
        <f t="shared" si="1"/>
        <v>0</v>
      </c>
      <c r="AH48" s="41">
        <f>ROUND(AH46*$Q$12,2)</f>
        <v>0</v>
      </c>
      <c r="AI48" s="41">
        <f>ROUND(AI46*$Q$12,2)</f>
        <v>0</v>
      </c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</row>
    <row r="49" spans="2:46" ht="30" customHeight="1">
      <c r="B49" s="123">
        <v>7</v>
      </c>
      <c r="C49" s="124">
        <f>YEAR(G49)</f>
        <v>2022</v>
      </c>
      <c r="D49" s="125">
        <f>CEILING(MONTH(G49)/3,1)</f>
        <v>2</v>
      </c>
      <c r="E49" s="126">
        <f>G49</f>
        <v>44742</v>
      </c>
      <c r="F49" s="127">
        <f>IF(G46&gt;0,(G46+1),"")</f>
        <v>44652</v>
      </c>
      <c r="G49" s="128">
        <v>44742</v>
      </c>
      <c r="H49" s="51" t="s">
        <v>47</v>
      </c>
      <c r="I49" s="31">
        <f>J49+K49</f>
        <v>202965</v>
      </c>
      <c r="J49" s="32">
        <v>202965</v>
      </c>
      <c r="K49" s="32">
        <v>0</v>
      </c>
      <c r="L49" s="57">
        <f>IF(ISERROR((N50+N51+N47+N48+N41+N42+N44+N45+N38+N39+N32+N33+N35+N36)/(I46+I43+I40+I37+I31+I34)),"0,00%",(N50+N51+N47+N48+N41+N42+N44+N45+N38+N39+N32+N33+N35+N36)/(I46+I43+I40+I37+I31+I34))</f>
        <v>0.95874616801689982</v>
      </c>
      <c r="M49" s="51" t="s">
        <v>47</v>
      </c>
      <c r="N49" s="31">
        <f>SUM(O49:Q49)</f>
        <v>140000</v>
      </c>
      <c r="O49" s="35">
        <f>SUM(O50:O51)</f>
        <v>119000</v>
      </c>
      <c r="P49" s="35">
        <f>SUM(P50:P51)</f>
        <v>0</v>
      </c>
      <c r="Q49" s="32">
        <v>21000</v>
      </c>
      <c r="R49" s="36"/>
      <c r="S49" s="51" t="s">
        <v>47</v>
      </c>
      <c r="T49" s="48"/>
      <c r="U49" s="49"/>
      <c r="V49" s="49"/>
      <c r="W49" s="50"/>
      <c r="X49" s="41">
        <f t="shared" si="0"/>
        <v>0</v>
      </c>
      <c r="Y49" s="41">
        <f>IF(L49="0,00%","0",IF(L49&gt;1,1,0))</f>
        <v>0</v>
      </c>
      <c r="Z49" s="41">
        <f>IF($H$6="tak",0,IF(AND(I49&gt;0,L49&lt;70%),1,0))</f>
        <v>0</v>
      </c>
      <c r="AA49" s="41">
        <f>IF(ISERROR(IF(F49&gt;0,YEAR(F49),"")),"",IF(F49&gt;0,YEAR(F49),""))</f>
        <v>2022</v>
      </c>
      <c r="AB49" s="41">
        <f>IF(ISERROR(IF(G49&gt;0,YEAR(G49),"")),"",IF(G49&gt;0,YEAR(G49),""))</f>
        <v>2022</v>
      </c>
      <c r="AC49" s="41">
        <v>0</v>
      </c>
      <c r="AD49" s="41"/>
      <c r="AE49" s="41">
        <f>(I50+I51+I47+I48+I41+I42+I44+I45+I38+I39+I32+I33+I35+I36)</f>
        <v>905930</v>
      </c>
      <c r="AF49" s="41">
        <f>(AG50+AG51+AG47+AG48+AG41+AG42+AG44+AG45+AG38+AG39+AG32+AG33+AG35+AG36)</f>
        <v>905930</v>
      </c>
      <c r="AG49" s="41">
        <f t="shared" si="1"/>
        <v>202965</v>
      </c>
      <c r="AH49" s="41">
        <f>J49</f>
        <v>202965</v>
      </c>
      <c r="AI49" s="41">
        <f>K49</f>
        <v>0</v>
      </c>
      <c r="AJ49" s="41">
        <f>(N50+N51+N47+N48+N41+N42+N44+N45+N38+N39+N32+N33+N35+N36)</f>
        <v>673965</v>
      </c>
      <c r="AK49" s="41"/>
      <c r="AL49" s="41">
        <f>IF(AJ49=1,$AK$77,0)</f>
        <v>0</v>
      </c>
      <c r="AM49" s="41">
        <f>IF(AJ49=1,$AK$78,0)</f>
        <v>0</v>
      </c>
      <c r="AN49" s="41"/>
      <c r="AO49" s="41">
        <f>IF(AND(AF49=$H$9,AG49&lt;&gt;0,C49&lt;&gt;1900),1,0)</f>
        <v>0</v>
      </c>
      <c r="AP49" s="41"/>
      <c r="AQ49" s="41">
        <f>IF(AO49=1,$AL$77,0)</f>
        <v>0</v>
      </c>
      <c r="AR49" s="41">
        <f>IF(AO49=1,$AL$78,0)</f>
        <v>0</v>
      </c>
      <c r="AS49" s="41"/>
      <c r="AT49" s="41">
        <f>IF(AND(G49=$H$16,I49&lt;&gt;0),1,0)</f>
        <v>0</v>
      </c>
    </row>
    <row r="50" spans="2:46" ht="30" customHeight="1">
      <c r="B50" s="123"/>
      <c r="C50" s="124"/>
      <c r="D50" s="125"/>
      <c r="E50" s="126"/>
      <c r="F50" s="127"/>
      <c r="G50" s="128"/>
      <c r="H50" s="51" t="s">
        <v>48</v>
      </c>
      <c r="I50" s="42">
        <f>IFERROR(J50+K50,0)</f>
        <v>202965</v>
      </c>
      <c r="J50" s="43">
        <f>IFERROR(AH50+AQ49,0)</f>
        <v>202965</v>
      </c>
      <c r="K50" s="43">
        <f>IFERROR(AI50,0)</f>
        <v>0</v>
      </c>
      <c r="L50" s="44">
        <f>IF(ISERROR(I50/I49),"-",I50/I49)</f>
        <v>1</v>
      </c>
      <c r="M50" s="51" t="s">
        <v>48</v>
      </c>
      <c r="N50" s="42">
        <f>SUM(O50:P50)</f>
        <v>119000</v>
      </c>
      <c r="O50" s="45">
        <v>119000</v>
      </c>
      <c r="P50" s="45">
        <v>0</v>
      </c>
      <c r="Q50" s="59"/>
      <c r="R50" s="44">
        <f>IF(ISERROR(N50/(N49-Q49)),"-",(N50/(N49-Q49)))</f>
        <v>1</v>
      </c>
      <c r="S50" s="51" t="s">
        <v>48</v>
      </c>
      <c r="T50" s="48"/>
      <c r="U50" s="49"/>
      <c r="V50" s="49"/>
      <c r="W50" s="50"/>
      <c r="X50" s="41">
        <f t="shared" si="0"/>
        <v>0</v>
      </c>
      <c r="Y50" s="41"/>
      <c r="Z50" s="41"/>
      <c r="AA50" s="41"/>
      <c r="AB50" s="41"/>
      <c r="AC50" s="41"/>
      <c r="AD50" s="41"/>
      <c r="AE50" s="41"/>
      <c r="AF50" s="41"/>
      <c r="AG50" s="41">
        <f t="shared" si="1"/>
        <v>202965</v>
      </c>
      <c r="AH50" s="41">
        <f>ROUND(AH49*$Q$11,2)</f>
        <v>202965</v>
      </c>
      <c r="AI50" s="41">
        <f>ROUND(AI49*$Q$11,2)</f>
        <v>0</v>
      </c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</row>
    <row r="51" spans="2:46" ht="30" customHeight="1">
      <c r="B51" s="123"/>
      <c r="C51" s="124"/>
      <c r="D51" s="125"/>
      <c r="E51" s="126"/>
      <c r="F51" s="127"/>
      <c r="G51" s="128"/>
      <c r="H51" s="51" t="s">
        <v>50</v>
      </c>
      <c r="I51" s="52">
        <f>IFERROR(J51+K51,0)</f>
        <v>0</v>
      </c>
      <c r="J51" s="53">
        <f>IFERROR(AH51+AR49,0)</f>
        <v>0</v>
      </c>
      <c r="K51" s="53">
        <f>IFERROR(AI51,0)</f>
        <v>0</v>
      </c>
      <c r="L51" s="44">
        <f>IF(ISERROR(I51/I49),"-",I51/I49)</f>
        <v>0</v>
      </c>
      <c r="M51" s="51" t="s">
        <v>50</v>
      </c>
      <c r="N51" s="54">
        <f>SUM(O51:P51)</f>
        <v>0</v>
      </c>
      <c r="O51" s="45">
        <v>0</v>
      </c>
      <c r="P51" s="45">
        <v>0</v>
      </c>
      <c r="Q51" s="55"/>
      <c r="R51" s="44">
        <f>IF(ISERROR(N51/(N49-Q49)),"-",(N51/(N49-Q49)))</f>
        <v>0</v>
      </c>
      <c r="S51" s="51" t="s">
        <v>50</v>
      </c>
      <c r="T51" s="48"/>
      <c r="U51" s="49"/>
      <c r="V51" s="49"/>
      <c r="W51" s="50"/>
      <c r="X51" s="41">
        <f t="shared" si="0"/>
        <v>0</v>
      </c>
      <c r="Y51" s="41"/>
      <c r="Z51" s="41"/>
      <c r="AA51" s="41"/>
      <c r="AB51" s="41"/>
      <c r="AC51" s="41"/>
      <c r="AD51" s="41"/>
      <c r="AE51" s="41"/>
      <c r="AF51" s="41"/>
      <c r="AG51" s="41">
        <f t="shared" si="1"/>
        <v>0</v>
      </c>
      <c r="AH51" s="41">
        <f>ROUND(AH49*$Q$12,2)</f>
        <v>0</v>
      </c>
      <c r="AI51" s="41">
        <f>ROUND(AI49*$Q$12,2)</f>
        <v>0</v>
      </c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</row>
    <row r="52" spans="2:46" ht="30" customHeight="1">
      <c r="B52" s="123">
        <v>8</v>
      </c>
      <c r="C52" s="124">
        <f>YEAR(G52)</f>
        <v>2022</v>
      </c>
      <c r="D52" s="125">
        <f>CEILING(MONTH(G52)/3,1)</f>
        <v>3</v>
      </c>
      <c r="E52" s="126">
        <f>G52</f>
        <v>44834</v>
      </c>
      <c r="F52" s="127">
        <f>IF(G49&gt;0,(G49+1),"")</f>
        <v>44743</v>
      </c>
      <c r="G52" s="128">
        <v>44834</v>
      </c>
      <c r="H52" s="51" t="s">
        <v>47</v>
      </c>
      <c r="I52" s="31">
        <f>J52+K52</f>
        <v>0</v>
      </c>
      <c r="J52" s="32">
        <v>0</v>
      </c>
      <c r="K52" s="32">
        <v>0</v>
      </c>
      <c r="L52" s="57">
        <f>IF(ISERROR((N53+N54+N50+N51+N44+N45+N47+N48+N41+N42+N38+N39+N32+N33+N35+N36)/(I49+I46+I43+I40+I37+I31+I34)),"0,00%",(N53+N54+N50+N51+N44+N45+N47+N48+N41+N42+N38+N39+N32+N33+N35+N36)/(I49+I46+I43+I40+I37+I31+I34))</f>
        <v>0.87530493525989872</v>
      </c>
      <c r="M52" s="51" t="s">
        <v>47</v>
      </c>
      <c r="N52" s="31">
        <f>SUM(O52:Q52)</f>
        <v>140000</v>
      </c>
      <c r="O52" s="60">
        <f>SUM(O53:O54)</f>
        <v>119000</v>
      </c>
      <c r="P52" s="60">
        <f>SUM(P53:P54)</f>
        <v>0</v>
      </c>
      <c r="Q52" s="32">
        <v>21000</v>
      </c>
      <c r="R52" s="36"/>
      <c r="S52" s="51" t="s">
        <v>47</v>
      </c>
      <c r="T52" s="48"/>
      <c r="U52" s="49"/>
      <c r="V52" s="49"/>
      <c r="W52" s="50"/>
      <c r="X52" s="41">
        <f t="shared" si="0"/>
        <v>0</v>
      </c>
      <c r="Y52" s="41">
        <f>IF(L52="0,00%","0",IF(L52&gt;1,1,0))</f>
        <v>0</v>
      </c>
      <c r="Z52" s="41">
        <f>IF($H$6="tak",0,IF(AND(I52&gt;0,L52&lt;70%),1,0))</f>
        <v>0</v>
      </c>
      <c r="AA52" s="41">
        <f>IF(ISERROR(IF(F52&gt;0,YEAR(F52),"")),"",IF(F52&gt;0,YEAR(F52),""))</f>
        <v>2022</v>
      </c>
      <c r="AB52" s="41">
        <f>IF(ISERROR(IF(G52&gt;0,YEAR(G52),"")),"",IF(G52&gt;0,YEAR(G52),""))</f>
        <v>2022</v>
      </c>
      <c r="AC52" s="41">
        <v>0</v>
      </c>
      <c r="AD52" s="41"/>
      <c r="AE52" s="41">
        <f>(I53+I54+I50+I51+I44+I45+I47+I48+I41+I42+I38+I39+I32+I33+I35+I36)</f>
        <v>905930</v>
      </c>
      <c r="AF52" s="41">
        <f>(AG53+AG54+AG50+AG51+AG44+AG45+AG47+AG48+AG41+AG42+AG38+AG39+AG32+AG33+AG35+AG36)</f>
        <v>905930</v>
      </c>
      <c r="AG52" s="41">
        <f t="shared" si="1"/>
        <v>0</v>
      </c>
      <c r="AH52" s="41">
        <f>J52</f>
        <v>0</v>
      </c>
      <c r="AI52" s="41">
        <f>K52</f>
        <v>0</v>
      </c>
      <c r="AJ52" s="41">
        <f>(N53+N54+N50+N51+N44+N45+N47+N48+N41+N42+N38+N39+N32+N33+N35+N36)</f>
        <v>792965</v>
      </c>
      <c r="AK52" s="41"/>
      <c r="AL52" s="41">
        <f>IF(AJ52=1,$AK$77,0)</f>
        <v>0</v>
      </c>
      <c r="AM52" s="41">
        <f>IF(AJ52=1,$AK$78,0)</f>
        <v>0</v>
      </c>
      <c r="AN52" s="41"/>
      <c r="AO52" s="41">
        <f>IF(AND(AF52=$H$9,AG52&lt;&gt;0,C52&lt;&gt;1900),1,0)</f>
        <v>0</v>
      </c>
      <c r="AP52" s="41"/>
      <c r="AQ52" s="41">
        <f>IF(AO52=1,$AL$77,0)</f>
        <v>0</v>
      </c>
      <c r="AR52" s="41">
        <f>IF(AO52=1,$AL$78,0)</f>
        <v>0</v>
      </c>
      <c r="AS52" s="41"/>
      <c r="AT52" s="41">
        <f>IF(AND(G52=$H$16,I52&lt;&gt;0),1,0)</f>
        <v>0</v>
      </c>
    </row>
    <row r="53" spans="2:46" ht="30" customHeight="1">
      <c r="B53" s="123"/>
      <c r="C53" s="124"/>
      <c r="D53" s="125"/>
      <c r="E53" s="126"/>
      <c r="F53" s="127"/>
      <c r="G53" s="128"/>
      <c r="H53" s="51" t="s">
        <v>48</v>
      </c>
      <c r="I53" s="42">
        <f>IFERROR(J53+K53,0)</f>
        <v>0</v>
      </c>
      <c r="J53" s="43">
        <f>IFERROR(AH53+AQ52,0)</f>
        <v>0</v>
      </c>
      <c r="K53" s="43">
        <f>IFERROR(AI53,0)</f>
        <v>0</v>
      </c>
      <c r="L53" s="44" t="str">
        <f>IF(ISERROR(I53/I52),"-",I53/I52)</f>
        <v>-</v>
      </c>
      <c r="M53" s="51" t="s">
        <v>48</v>
      </c>
      <c r="N53" s="42">
        <f>SUM(O53:P53)</f>
        <v>119000</v>
      </c>
      <c r="O53" s="45">
        <v>119000</v>
      </c>
      <c r="P53" s="45">
        <v>0</v>
      </c>
      <c r="Q53" s="61"/>
      <c r="R53" s="44">
        <f>IF(ISERROR(N53/(N52-Q52)),"-",(N53/(N52-Q52)))</f>
        <v>1</v>
      </c>
      <c r="S53" s="51" t="s">
        <v>48</v>
      </c>
      <c r="T53" s="48"/>
      <c r="U53" s="49"/>
      <c r="V53" s="49"/>
      <c r="W53" s="50"/>
      <c r="X53" s="41">
        <f t="shared" si="0"/>
        <v>0</v>
      </c>
      <c r="Y53" s="41"/>
      <c r="Z53" s="41"/>
      <c r="AA53" s="41"/>
      <c r="AB53" s="41"/>
      <c r="AC53" s="41"/>
      <c r="AD53" s="41"/>
      <c r="AE53" s="41"/>
      <c r="AF53" s="41"/>
      <c r="AG53" s="41">
        <f t="shared" si="1"/>
        <v>0</v>
      </c>
      <c r="AH53" s="41">
        <f>ROUND(AH52*$Q$11,2)</f>
        <v>0</v>
      </c>
      <c r="AI53" s="41">
        <f>ROUND(AI52*$Q$11,2)</f>
        <v>0</v>
      </c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</row>
    <row r="54" spans="2:46" ht="30" customHeight="1">
      <c r="B54" s="123"/>
      <c r="C54" s="124"/>
      <c r="D54" s="125"/>
      <c r="E54" s="126"/>
      <c r="F54" s="127"/>
      <c r="G54" s="128"/>
      <c r="H54" s="51" t="s">
        <v>50</v>
      </c>
      <c r="I54" s="52">
        <f>IFERROR(J54+K54,0)</f>
        <v>0</v>
      </c>
      <c r="J54" s="53">
        <f>IFERROR(AH54+AR52,0)</f>
        <v>0</v>
      </c>
      <c r="K54" s="53">
        <f>IFERROR(AI54,0)</f>
        <v>0</v>
      </c>
      <c r="L54" s="44" t="str">
        <f>IF(ISERROR(I54/I52),"-",I54/I52)</f>
        <v>-</v>
      </c>
      <c r="M54" s="51" t="s">
        <v>50</v>
      </c>
      <c r="N54" s="54">
        <f>SUM(O54:P54)</f>
        <v>0</v>
      </c>
      <c r="O54" s="45">
        <v>0</v>
      </c>
      <c r="P54" s="45">
        <v>0</v>
      </c>
      <c r="Q54" s="61"/>
      <c r="R54" s="44">
        <f>IF(ISERROR(N54/(N52-Q52)),"-",(N54/(N52-Q52)))</f>
        <v>0</v>
      </c>
      <c r="S54" s="51" t="s">
        <v>50</v>
      </c>
      <c r="T54" s="48"/>
      <c r="U54" s="49"/>
      <c r="V54" s="49"/>
      <c r="W54" s="50"/>
      <c r="X54" s="41">
        <f t="shared" si="0"/>
        <v>0</v>
      </c>
      <c r="Y54" s="41"/>
      <c r="Z54" s="41"/>
      <c r="AA54" s="41"/>
      <c r="AB54" s="41"/>
      <c r="AC54" s="41"/>
      <c r="AD54" s="41"/>
      <c r="AE54" s="41"/>
      <c r="AF54" s="41"/>
      <c r="AG54" s="41">
        <f t="shared" si="1"/>
        <v>0</v>
      </c>
      <c r="AH54" s="41">
        <f>ROUND(AH52*$Q$12,2)</f>
        <v>0</v>
      </c>
      <c r="AI54" s="41">
        <f>ROUND(AI52*$Q$12,2)</f>
        <v>0</v>
      </c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</row>
    <row r="55" spans="2:46" ht="30" customHeight="1">
      <c r="B55" s="123">
        <v>9</v>
      </c>
      <c r="C55" s="124">
        <f>YEAR(G55)</f>
        <v>2022</v>
      </c>
      <c r="D55" s="125">
        <f>CEILING(MONTH(G55)/3,1)</f>
        <v>4</v>
      </c>
      <c r="E55" s="126">
        <f>G55</f>
        <v>44926</v>
      </c>
      <c r="F55" s="127">
        <f>IF(G52&gt;0,(G52+1),"")</f>
        <v>44835</v>
      </c>
      <c r="G55" s="128">
        <v>44926</v>
      </c>
      <c r="H55" s="51" t="s">
        <v>47</v>
      </c>
      <c r="I55" s="31">
        <f>J55+K55</f>
        <v>453326.25</v>
      </c>
      <c r="J55" s="32">
        <v>453326.25</v>
      </c>
      <c r="K55" s="32">
        <v>0</v>
      </c>
      <c r="L55" s="57">
        <f>IF(ISERROR((N56+N57+N53+N54+N47+N48+N50+N51+N44+N45+N41+N42+N35+N36+N38+N39+N32+N33)/(I52+I49+I46+I43+I40+I34+I37+I31)),"0,00%",(N56+N57+N53+N54+N47+N48+N50+N51+N44+N45+N41+N42+N35+N36+N38+N39+N32+N33)/(I52+I49+I46+I43+I40+I34+I37+I31))</f>
        <v>1</v>
      </c>
      <c r="M55" s="51" t="s">
        <v>47</v>
      </c>
      <c r="N55" s="31">
        <f>SUM(O55:Q55)</f>
        <v>132900</v>
      </c>
      <c r="O55" s="35">
        <f>SUM(O56:O57)</f>
        <v>112965</v>
      </c>
      <c r="P55" s="35">
        <f>SUM(P56:P57)</f>
        <v>0</v>
      </c>
      <c r="Q55" s="32">
        <v>19935</v>
      </c>
      <c r="R55" s="36"/>
      <c r="S55" s="51" t="s">
        <v>47</v>
      </c>
      <c r="T55" s="48"/>
      <c r="U55" s="49"/>
      <c r="V55" s="49"/>
      <c r="W55" s="50"/>
      <c r="X55" s="41">
        <f t="shared" si="0"/>
        <v>0</v>
      </c>
      <c r="Y55" s="41">
        <f>IF(L55="0,00%","0",IF(L55&gt;1,1,0))</f>
        <v>0</v>
      </c>
      <c r="Z55" s="41">
        <f>IF($H$6="tak",0,IF(AND(I55&gt;0,L55&lt;70%),1,0))</f>
        <v>0</v>
      </c>
      <c r="AA55" s="41">
        <f>IF(ISERROR(IF(F55&gt;0,YEAR(F55),"")),"",IF(F55&gt;0,YEAR(F55),""))</f>
        <v>2022</v>
      </c>
      <c r="AB55" s="41">
        <f>IF(ISERROR(IF(G55&gt;0,YEAR(G55),"")),"",IF(G55&gt;0,YEAR(G55),""))</f>
        <v>2022</v>
      </c>
      <c r="AC55" s="41">
        <v>0</v>
      </c>
      <c r="AD55" s="41"/>
      <c r="AE55" s="41">
        <f>(I56+I57+I53+I54+I47+I48+I50+I51+I44+I45+I41+I42+I35+I36+I38+I39+I32+I33)</f>
        <v>1359256.25</v>
      </c>
      <c r="AF55" s="41">
        <f>(AG56+AG57+AG53+AG54+AG47+AG48+AG50+AG51+AG44+AG45+AG41+AG42+AG35+AG36+AG38+AG39+AG32+AG33)</f>
        <v>1359256.25</v>
      </c>
      <c r="AG55" s="41">
        <f t="shared" si="1"/>
        <v>453326.25</v>
      </c>
      <c r="AH55" s="41">
        <f>J55</f>
        <v>453326.25</v>
      </c>
      <c r="AI55" s="41">
        <f>K55</f>
        <v>0</v>
      </c>
      <c r="AJ55" s="41">
        <f>(N56+N57+N53+N54+N47+N48+N50+N51+N44+N45+N41+N42+N35+N36+N38+N39+N32+N33)</f>
        <v>905930</v>
      </c>
      <c r="AK55" s="41"/>
      <c r="AL55" s="41">
        <f>IF(AJ55=1,$AK$77,0)</f>
        <v>0</v>
      </c>
      <c r="AM55" s="41">
        <f>IF(AJ55=1,$AK$78,0)</f>
        <v>0</v>
      </c>
      <c r="AN55" s="41"/>
      <c r="AO55" s="41">
        <f>IF(AND(AF55=$H$9,AG55&lt;&gt;0,C55&lt;&gt;1900),1,0)</f>
        <v>1</v>
      </c>
      <c r="AP55" s="41"/>
      <c r="AQ55" s="41">
        <f>IF(AO55=1,$AL$77,0)</f>
        <v>0</v>
      </c>
      <c r="AR55" s="41">
        <f>IF(AO55=1,$AL$78,0)</f>
        <v>0</v>
      </c>
      <c r="AS55" s="41"/>
      <c r="AT55" s="41">
        <f>IF(AND(G55=$H$16,I55&lt;&gt;0),1,0)</f>
        <v>0</v>
      </c>
    </row>
    <row r="56" spans="2:46" ht="30" customHeight="1">
      <c r="B56" s="123"/>
      <c r="C56" s="124"/>
      <c r="D56" s="125"/>
      <c r="E56" s="126"/>
      <c r="F56" s="127"/>
      <c r="G56" s="128"/>
      <c r="H56" s="51" t="s">
        <v>48</v>
      </c>
      <c r="I56" s="42">
        <f>IFERROR(J56+K56,0)</f>
        <v>453326.25</v>
      </c>
      <c r="J56" s="43">
        <f>IFERROR(AH56+AQ55,0)</f>
        <v>453326.25</v>
      </c>
      <c r="K56" s="43">
        <f>IFERROR(AI56,0)</f>
        <v>0</v>
      </c>
      <c r="L56" s="44">
        <f>IF(ISERROR(I56/I55),"-",I56/I55)</f>
        <v>1</v>
      </c>
      <c r="M56" s="51" t="s">
        <v>48</v>
      </c>
      <c r="N56" s="42">
        <f>SUM(O56:P56)</f>
        <v>112965</v>
      </c>
      <c r="O56" s="45">
        <v>112965</v>
      </c>
      <c r="P56" s="45">
        <v>0</v>
      </c>
      <c r="Q56" s="61"/>
      <c r="R56" s="44">
        <f>IF(ISERROR(N56/(N55-Q55)),"-",(N56/(N55-Q55)))</f>
        <v>1</v>
      </c>
      <c r="S56" s="51" t="s">
        <v>48</v>
      </c>
      <c r="T56" s="48"/>
      <c r="U56" s="49"/>
      <c r="V56" s="49"/>
      <c r="W56" s="50"/>
      <c r="X56" s="41">
        <f t="shared" si="0"/>
        <v>0</v>
      </c>
      <c r="Y56" s="41"/>
      <c r="Z56" s="41"/>
      <c r="AA56" s="41"/>
      <c r="AB56" s="41"/>
      <c r="AC56" s="41"/>
      <c r="AD56" s="41"/>
      <c r="AE56" s="41"/>
      <c r="AF56" s="41"/>
      <c r="AG56" s="41">
        <f t="shared" si="1"/>
        <v>453326.25</v>
      </c>
      <c r="AH56" s="41">
        <f>ROUND(AH55*$Q$11,2)</f>
        <v>453326.25</v>
      </c>
      <c r="AI56" s="41">
        <f>ROUND(AI55*$Q$11,2)</f>
        <v>0</v>
      </c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</row>
    <row r="57" spans="2:46" ht="30" customHeight="1">
      <c r="B57" s="123"/>
      <c r="C57" s="124"/>
      <c r="D57" s="125"/>
      <c r="E57" s="126"/>
      <c r="F57" s="127"/>
      <c r="G57" s="128"/>
      <c r="H57" s="51" t="s">
        <v>50</v>
      </c>
      <c r="I57" s="52">
        <f>IFERROR(J57+K57,0)</f>
        <v>0</v>
      </c>
      <c r="J57" s="53">
        <f>IFERROR(AH57+AR55,0)</f>
        <v>0</v>
      </c>
      <c r="K57" s="53">
        <f>IFERROR(AI57,0)</f>
        <v>0</v>
      </c>
      <c r="L57" s="44">
        <f>IF(ISERROR(I57/I55),"-",I57/I55)</f>
        <v>0</v>
      </c>
      <c r="M57" s="30" t="s">
        <v>50</v>
      </c>
      <c r="N57" s="54">
        <f>SUM(O57:P57)</f>
        <v>0</v>
      </c>
      <c r="O57" s="45">
        <v>0</v>
      </c>
      <c r="P57" s="45">
        <v>0</v>
      </c>
      <c r="Q57" s="62"/>
      <c r="R57" s="44">
        <f>IF(ISERROR(N57/(N55-Q55)),"-",(N57/(N55-Q55)))</f>
        <v>0</v>
      </c>
      <c r="S57" s="51" t="s">
        <v>50</v>
      </c>
      <c r="T57" s="48"/>
      <c r="U57" s="49"/>
      <c r="V57" s="49"/>
      <c r="W57" s="50"/>
      <c r="X57" s="41">
        <f t="shared" si="0"/>
        <v>0</v>
      </c>
      <c r="Y57" s="41"/>
      <c r="Z57" s="41"/>
      <c r="AA57" s="41"/>
      <c r="AB57" s="41"/>
      <c r="AC57" s="41"/>
      <c r="AD57" s="41"/>
      <c r="AE57" s="41"/>
      <c r="AF57" s="41"/>
      <c r="AG57" s="41">
        <f t="shared" si="1"/>
        <v>0</v>
      </c>
      <c r="AH57" s="41">
        <f>ROUND(AH55*$Q$12,2)</f>
        <v>0</v>
      </c>
      <c r="AI57" s="41">
        <f>ROUND(AI55*$Q$12,2)</f>
        <v>0</v>
      </c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</row>
    <row r="58" spans="2:46" ht="30" customHeight="1">
      <c r="B58" s="123">
        <v>10</v>
      </c>
      <c r="C58" s="124">
        <f>YEAR(G58)</f>
        <v>2023</v>
      </c>
      <c r="D58" s="125">
        <f>CEILING(MONTH(G58)/3,1)</f>
        <v>1</v>
      </c>
      <c r="E58" s="126">
        <f>G58</f>
        <v>45016</v>
      </c>
      <c r="F58" s="127">
        <f>IF(G55&gt;0,(G55+1),"")</f>
        <v>44927</v>
      </c>
      <c r="G58" s="128">
        <v>45016</v>
      </c>
      <c r="H58" s="51" t="s">
        <v>47</v>
      </c>
      <c r="I58" s="31">
        <f>J58+K58</f>
        <v>0</v>
      </c>
      <c r="J58" s="32">
        <v>0</v>
      </c>
      <c r="K58" s="32">
        <v>0</v>
      </c>
      <c r="L58" s="57">
        <f>IF(ISERROR((N59+N60+N56+N57+N50+N51+N53+N54+N47+N48+N44+N45+N41+N42+N38+N39+N32+N33+N35+N36)/(I55+I52+I49+I46+I43+I40+I37+I31+I34)),"0,00%",(N59+N60+N56+N57+N50+N51+N53+N54+N47+N48+N44+N45+N41+N42+N38+N39+N32+N33+N35+N36)/(I55+I52+I49+I46+I43+I40+I37+I31+I34))</f>
        <v>0.76654420386148681</v>
      </c>
      <c r="M58" s="51" t="s">
        <v>47</v>
      </c>
      <c r="N58" s="31">
        <f>SUM(O58:Q58)</f>
        <v>160000</v>
      </c>
      <c r="O58" s="35">
        <f>SUM(O59:O60)</f>
        <v>136000</v>
      </c>
      <c r="P58" s="35">
        <f>SUM(P59:P60)</f>
        <v>0</v>
      </c>
      <c r="Q58" s="32">
        <v>24000</v>
      </c>
      <c r="R58" s="36"/>
      <c r="S58" s="51" t="s">
        <v>47</v>
      </c>
      <c r="T58" s="48"/>
      <c r="U58" s="49"/>
      <c r="V58" s="49"/>
      <c r="W58" s="50"/>
      <c r="X58" s="41">
        <f t="shared" si="0"/>
        <v>0</v>
      </c>
      <c r="Y58" s="41">
        <f>IF(L58="0,00%","0",IF(L58&gt;1,1,0))</f>
        <v>0</v>
      </c>
      <c r="Z58" s="41">
        <f>IF($H$6="tak",0,IF(AND(I58&gt;0,L58&lt;70%),1,0))</f>
        <v>0</v>
      </c>
      <c r="AA58" s="41">
        <f>IF(ISERROR(IF(F58&gt;0,YEAR(F58),"")),"",IF(F58&gt;0,YEAR(F58),""))</f>
        <v>2023</v>
      </c>
      <c r="AB58" s="41">
        <f>IF(ISERROR(IF(G58&gt;0,YEAR(G58),"")),"",IF(G58&gt;0,YEAR(G58),""))</f>
        <v>2023</v>
      </c>
      <c r="AC58" s="41">
        <v>0</v>
      </c>
      <c r="AD58" s="41"/>
      <c r="AE58" s="41">
        <f>(I59+I60+I56+I57+I50+I51+I53+I54+I47+I48+I44+I45+I41+I42+I38+I39+I32+I33+I35+I36)</f>
        <v>1359256.25</v>
      </c>
      <c r="AF58" s="41">
        <f>(AG59+AG60+AG56+AG57+AG50+AG51+AG53+AG54+AG47+AG48+AG44+AG45+AG41+AG42+AG38+AG39+AG32+AG33+AG35+AG36)</f>
        <v>1359256.25</v>
      </c>
      <c r="AG58" s="41">
        <f t="shared" si="1"/>
        <v>0</v>
      </c>
      <c r="AH58" s="41">
        <f>J58</f>
        <v>0</v>
      </c>
      <c r="AI58" s="41">
        <f>K58</f>
        <v>0</v>
      </c>
      <c r="AJ58" s="41">
        <f>(N59+N60+N56+N57+N50+N51+N53+N54+N47+N48+N44+N45+N41+N42+N38+N39+N32+N33+N35+N36)</f>
        <v>1041930</v>
      </c>
      <c r="AK58" s="41"/>
      <c r="AL58" s="41">
        <f>IF(AJ58=1,$AK$77,0)</f>
        <v>0</v>
      </c>
      <c r="AM58" s="41">
        <f>IF(AJ58=1,$AK$78,0)</f>
        <v>0</v>
      </c>
      <c r="AN58" s="41"/>
      <c r="AO58" s="41">
        <f>IF(AND(AF58=$H$9,AG58&lt;&gt;0,C58&lt;&gt;1900),1,0)</f>
        <v>0</v>
      </c>
      <c r="AP58" s="41"/>
      <c r="AQ58" s="41">
        <f>IF(AO58=1,$AL$77,0)</f>
        <v>0</v>
      </c>
      <c r="AR58" s="41">
        <f>IF(AO58=1,$AL$78,0)</f>
        <v>0</v>
      </c>
      <c r="AS58" s="41"/>
      <c r="AT58" s="41">
        <f>IF(AND(G58=$H$16,I58&lt;&gt;0),1,0)</f>
        <v>0</v>
      </c>
    </row>
    <row r="59" spans="2:46" ht="30" customHeight="1">
      <c r="B59" s="123"/>
      <c r="C59" s="124"/>
      <c r="D59" s="125"/>
      <c r="E59" s="126"/>
      <c r="F59" s="127"/>
      <c r="G59" s="128"/>
      <c r="H59" s="51" t="s">
        <v>48</v>
      </c>
      <c r="I59" s="42">
        <f>IFERROR(J59+K59,0)</f>
        <v>0</v>
      </c>
      <c r="J59" s="43">
        <f>IFERROR(AH59+AQ58,0)</f>
        <v>0</v>
      </c>
      <c r="K59" s="43">
        <f>IFERROR(AI59,0)</f>
        <v>0</v>
      </c>
      <c r="L59" s="44" t="str">
        <f>IF(ISERROR(I59/I58),"-",I59/I58)</f>
        <v>-</v>
      </c>
      <c r="M59" s="51" t="s">
        <v>48</v>
      </c>
      <c r="N59" s="42">
        <f>SUM(O59:P59)</f>
        <v>136000</v>
      </c>
      <c r="O59" s="45">
        <v>136000</v>
      </c>
      <c r="P59" s="45">
        <v>0</v>
      </c>
      <c r="Q59" s="46"/>
      <c r="R59" s="44">
        <f>IF(ISERROR(N59/(N58-Q58)),"-",(N59/(N58-Q58)))</f>
        <v>1</v>
      </c>
      <c r="S59" s="51" t="s">
        <v>48</v>
      </c>
      <c r="T59" s="48"/>
      <c r="U59" s="49"/>
      <c r="V59" s="49"/>
      <c r="W59" s="50"/>
      <c r="X59" s="41">
        <f t="shared" si="0"/>
        <v>0</v>
      </c>
      <c r="Y59" s="41"/>
      <c r="Z59" s="41"/>
      <c r="AA59" s="41"/>
      <c r="AB59" s="41"/>
      <c r="AC59" s="41"/>
      <c r="AD59" s="41"/>
      <c r="AE59" s="41"/>
      <c r="AF59" s="41"/>
      <c r="AG59" s="41">
        <f t="shared" si="1"/>
        <v>0</v>
      </c>
      <c r="AH59" s="41">
        <f>ROUND(AH58*$Q$11,2)</f>
        <v>0</v>
      </c>
      <c r="AI59" s="41">
        <f>ROUND(AI58*$Q$11,2)</f>
        <v>0</v>
      </c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</row>
    <row r="60" spans="2:46" ht="30" customHeight="1">
      <c r="B60" s="123"/>
      <c r="C60" s="124"/>
      <c r="D60" s="125"/>
      <c r="E60" s="126"/>
      <c r="F60" s="127"/>
      <c r="G60" s="128"/>
      <c r="H60" s="51" t="s">
        <v>50</v>
      </c>
      <c r="I60" s="52">
        <f>IFERROR(J60+K60,0)</f>
        <v>0</v>
      </c>
      <c r="J60" s="53">
        <f>IFERROR(AH60+AR58,0)</f>
        <v>0</v>
      </c>
      <c r="K60" s="53">
        <f>IFERROR(AI60,0)</f>
        <v>0</v>
      </c>
      <c r="L60" s="44" t="str">
        <f>IF(ISERROR(I60/I58),"-",I60/I58)</f>
        <v>-</v>
      </c>
      <c r="M60" s="51" t="s">
        <v>50</v>
      </c>
      <c r="N60" s="54">
        <f>SUM(O60:P60)</f>
        <v>0</v>
      </c>
      <c r="O60" s="45">
        <v>0</v>
      </c>
      <c r="P60" s="45">
        <v>0</v>
      </c>
      <c r="Q60" s="55"/>
      <c r="R60" s="44">
        <f>IF(ISERROR(N60/(N58-Q58)),"-",(N60/(N58-Q58)))</f>
        <v>0</v>
      </c>
      <c r="S60" s="51" t="s">
        <v>50</v>
      </c>
      <c r="T60" s="48"/>
      <c r="U60" s="49"/>
      <c r="V60" s="49"/>
      <c r="W60" s="50"/>
      <c r="X60" s="41">
        <f t="shared" si="0"/>
        <v>0</v>
      </c>
      <c r="Y60" s="41"/>
      <c r="Z60" s="41"/>
      <c r="AA60" s="41"/>
      <c r="AB60" s="41"/>
      <c r="AC60" s="41"/>
      <c r="AD60" s="41"/>
      <c r="AE60" s="41"/>
      <c r="AF60" s="41"/>
      <c r="AG60" s="41">
        <f t="shared" si="1"/>
        <v>0</v>
      </c>
      <c r="AH60" s="41">
        <f>ROUND(AH58*$Q$12,2)</f>
        <v>0</v>
      </c>
      <c r="AI60" s="41">
        <f>ROUND(AI58*$Q$12,2)</f>
        <v>0</v>
      </c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</row>
    <row r="61" spans="2:46" ht="30" customHeight="1">
      <c r="B61" s="123">
        <v>11</v>
      </c>
      <c r="C61" s="124">
        <f>YEAR(G61)</f>
        <v>2023</v>
      </c>
      <c r="D61" s="125">
        <f>CEILING(MONTH(G61)/3,1)</f>
        <v>2</v>
      </c>
      <c r="E61" s="126">
        <f>G61</f>
        <v>45107</v>
      </c>
      <c r="F61" s="127">
        <f>IF(G58&gt;0,(G58+1),"")</f>
        <v>45017</v>
      </c>
      <c r="G61" s="128">
        <v>45107</v>
      </c>
      <c r="H61" s="51" t="s">
        <v>47</v>
      </c>
      <c r="I61" s="31">
        <f>J61+K61</f>
        <v>0</v>
      </c>
      <c r="J61" s="32">
        <v>0</v>
      </c>
      <c r="K61" s="32">
        <v>0</v>
      </c>
      <c r="L61" s="33">
        <f>IF(ISERROR((N62+N63+N59+N60+N53+N54+N56+N57+N50+N51+N47+N48+N44+N45+N41+N42+N38+N39+N32+N33+N35+N36)/(I58+I55+I52+I49+I46+I43+I40+I37+I31+I34)),"0,00%",(N62+N63+N59+N60+N53+N54+N56+N57+N50+N51+N47+N48+N44+N45+N41+N42+N38+N39+N32+N33+N35+N36)/(I58+I55+I52+I49+I46+I43+I40+I37+I31+I34))</f>
        <v>0.86659892128507776</v>
      </c>
      <c r="M61" s="34" t="s">
        <v>47</v>
      </c>
      <c r="N61" s="31">
        <f>SUM(O61:Q61)</f>
        <v>160000</v>
      </c>
      <c r="O61" s="35">
        <f>SUM(O62:O63)</f>
        <v>136000</v>
      </c>
      <c r="P61" s="35">
        <f>SUM(P62:P63)</f>
        <v>0</v>
      </c>
      <c r="Q61" s="32">
        <v>24000</v>
      </c>
      <c r="R61" s="36"/>
      <c r="S61" s="51" t="s">
        <v>47</v>
      </c>
      <c r="T61" s="48"/>
      <c r="U61" s="49"/>
      <c r="V61" s="49"/>
      <c r="W61" s="50"/>
      <c r="X61" s="41">
        <f t="shared" si="0"/>
        <v>0</v>
      </c>
      <c r="Y61" s="41">
        <f>IF(L61="0,00%","0",IF(L61&gt;1,1,0))</f>
        <v>0</v>
      </c>
      <c r="Z61" s="41">
        <f>IF($H$6="tak",0,IF(AND(I61&gt;0,L61&lt;70%),1,0))</f>
        <v>0</v>
      </c>
      <c r="AA61" s="41">
        <f>IF(ISERROR(IF(F61&gt;0,YEAR(F61),"")),"",IF(F61&gt;0,YEAR(F61),""))</f>
        <v>2023</v>
      </c>
      <c r="AB61" s="41">
        <f>IF(ISERROR(IF(G61&gt;0,YEAR(G61),"")),"",IF(G61&gt;0,YEAR(G61),""))</f>
        <v>2023</v>
      </c>
      <c r="AC61" s="41">
        <v>0</v>
      </c>
      <c r="AD61" s="41"/>
      <c r="AE61" s="41">
        <f>(I62+I63+I59+I60+I53+I54+I56+I57+I50+I51+I47+I48+I44+I45+I41+I42+I38+I39+I32+I33+I35+I36)</f>
        <v>1359256.25</v>
      </c>
      <c r="AF61" s="41">
        <f>(AG62+AG63+AG59+AG60+AG53+AG54+AG56+AG57+AG50+AG51+AG47+AG48+AG44+AG45+AG41+AG42+AG38+AG39+AG32+AG33+AG35+AG36)</f>
        <v>1359256.25</v>
      </c>
      <c r="AG61" s="41">
        <f t="shared" si="1"/>
        <v>0</v>
      </c>
      <c r="AH61" s="41">
        <f>J61</f>
        <v>0</v>
      </c>
      <c r="AI61" s="41">
        <f>K61</f>
        <v>0</v>
      </c>
      <c r="AJ61" s="41">
        <f>(N62+N63+N59+N60+N53+N54+N56+N57+N50+N51+N47+N48+N44+N45+N41+N42+N38+N39+N32+N33+N35+N36)</f>
        <v>1177930</v>
      </c>
      <c r="AK61" s="41"/>
      <c r="AL61" s="41">
        <f>IF(AJ61=1,$AK$77,0)</f>
        <v>0</v>
      </c>
      <c r="AM61" s="41">
        <f>IF(AJ61=1,$AK$78,0)</f>
        <v>0</v>
      </c>
      <c r="AN61" s="41"/>
      <c r="AO61" s="41">
        <f>IF(AND(AF61=$H$9,AG61&lt;&gt;0,C61&lt;&gt;1900),1,0)</f>
        <v>0</v>
      </c>
      <c r="AP61" s="41"/>
      <c r="AQ61" s="41">
        <f>IF(AO61=1,$AL$77,0)</f>
        <v>0</v>
      </c>
      <c r="AR61" s="41">
        <f>IF(AO61=1,$AL$78,0)</f>
        <v>0</v>
      </c>
      <c r="AS61" s="41"/>
      <c r="AT61" s="41">
        <f>IF(AND(G61=$H$16,I61&lt;&gt;0),1,0)</f>
        <v>0</v>
      </c>
    </row>
    <row r="62" spans="2:46" ht="30" customHeight="1">
      <c r="B62" s="123"/>
      <c r="C62" s="124"/>
      <c r="D62" s="125"/>
      <c r="E62" s="126"/>
      <c r="F62" s="127"/>
      <c r="G62" s="128"/>
      <c r="H62" s="51" t="s">
        <v>48</v>
      </c>
      <c r="I62" s="42">
        <f>IFERROR(J62+K62,0)</f>
        <v>0</v>
      </c>
      <c r="J62" s="43">
        <f>IFERROR(AH62+AQ61,0)</f>
        <v>0</v>
      </c>
      <c r="K62" s="43">
        <f>IFERROR(AI62,0)</f>
        <v>0</v>
      </c>
      <c r="L62" s="44" t="str">
        <f>IF(ISERROR(I62/I61),"-",I62/I61)</f>
        <v>-</v>
      </c>
      <c r="M62" s="51" t="s">
        <v>48</v>
      </c>
      <c r="N62" s="42">
        <f>SUM(O62:P62)</f>
        <v>136000</v>
      </c>
      <c r="O62" s="45">
        <v>136000</v>
      </c>
      <c r="P62" s="45">
        <v>0</v>
      </c>
      <c r="Q62" s="46"/>
      <c r="R62" s="44">
        <f>IF(ISERROR(N62/(N61-Q61)),"-",(N62/(N61-Q61)))</f>
        <v>1</v>
      </c>
      <c r="S62" s="51" t="s">
        <v>48</v>
      </c>
      <c r="T62" s="48"/>
      <c r="U62" s="49"/>
      <c r="V62" s="49"/>
      <c r="W62" s="50"/>
      <c r="X62" s="41">
        <f t="shared" si="0"/>
        <v>0</v>
      </c>
      <c r="Y62" s="41"/>
      <c r="Z62" s="41"/>
      <c r="AA62" s="41"/>
      <c r="AB62" s="41"/>
      <c r="AC62" s="41"/>
      <c r="AD62" s="41"/>
      <c r="AE62" s="41"/>
      <c r="AF62" s="41"/>
      <c r="AG62" s="41">
        <f t="shared" si="1"/>
        <v>0</v>
      </c>
      <c r="AH62" s="41">
        <f>ROUND(AH61*$Q$11,2)</f>
        <v>0</v>
      </c>
      <c r="AI62" s="41">
        <f>ROUND(AI61*$Q$11,2)</f>
        <v>0</v>
      </c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</row>
    <row r="63" spans="2:46" ht="30" customHeight="1">
      <c r="B63" s="123"/>
      <c r="C63" s="124"/>
      <c r="D63" s="125"/>
      <c r="E63" s="126"/>
      <c r="F63" s="127"/>
      <c r="G63" s="128"/>
      <c r="H63" s="51" t="s">
        <v>50</v>
      </c>
      <c r="I63" s="52">
        <f>IFERROR(J63+K63,0)</f>
        <v>0</v>
      </c>
      <c r="J63" s="53">
        <f>IFERROR(AH63+AR61,0)</f>
        <v>0</v>
      </c>
      <c r="K63" s="53">
        <f>IFERROR(AI63,0)</f>
        <v>0</v>
      </c>
      <c r="L63" s="44" t="str">
        <f>IF(ISERROR(I63/I61),"-",I63/I61)</f>
        <v>-</v>
      </c>
      <c r="M63" s="51" t="s">
        <v>50</v>
      </c>
      <c r="N63" s="54">
        <f>SUM(O63:P63)</f>
        <v>0</v>
      </c>
      <c r="O63" s="45">
        <v>0</v>
      </c>
      <c r="P63" s="45">
        <v>0</v>
      </c>
      <c r="Q63" s="55"/>
      <c r="R63" s="44">
        <f>IF(ISERROR(N63/(N61-Q61)),"-",(N63/(N61-Q61)))</f>
        <v>0</v>
      </c>
      <c r="S63" s="51" t="s">
        <v>50</v>
      </c>
      <c r="T63" s="63"/>
      <c r="U63" s="64"/>
      <c r="V63" s="64"/>
      <c r="W63" s="65"/>
      <c r="X63" s="41">
        <f t="shared" si="0"/>
        <v>0</v>
      </c>
      <c r="Y63" s="41"/>
      <c r="Z63" s="41"/>
      <c r="AA63" s="41"/>
      <c r="AB63" s="41"/>
      <c r="AC63" s="41"/>
      <c r="AD63" s="41"/>
      <c r="AE63" s="41"/>
      <c r="AF63" s="41"/>
      <c r="AG63" s="41">
        <f t="shared" si="1"/>
        <v>0</v>
      </c>
      <c r="AH63" s="41">
        <f>ROUND(AH61*$Q$12,2)</f>
        <v>0</v>
      </c>
      <c r="AI63" s="41">
        <f>ROUND(AI61*$Q$12,2)</f>
        <v>0</v>
      </c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</row>
    <row r="64" spans="2:46" ht="30" customHeight="1">
      <c r="B64" s="123">
        <v>12</v>
      </c>
      <c r="C64" s="124">
        <f>YEAR(G64)</f>
        <v>2023</v>
      </c>
      <c r="D64" s="125">
        <f>CEILING(MONTH(G64)/3,1)</f>
        <v>3</v>
      </c>
      <c r="E64" s="126">
        <f>G64</f>
        <v>45199</v>
      </c>
      <c r="F64" s="127">
        <f>IF(G61&gt;0,(G61+1),"")</f>
        <v>45108</v>
      </c>
      <c r="G64" s="128">
        <v>45199</v>
      </c>
      <c r="H64" s="51" t="s">
        <v>47</v>
      </c>
      <c r="I64" s="31">
        <f>J64+K64</f>
        <v>0</v>
      </c>
      <c r="J64" s="32">
        <v>0</v>
      </c>
      <c r="K64" s="32">
        <v>0</v>
      </c>
      <c r="L64" s="57">
        <f>IF(ISERROR((N32+N33+N35+N36+N38+N39+N65+N66+N62+N63+N56+N57+N59+N60+N53+N54+N50+N51+N44+N45+N47+N48+N41+N42)/(I31+I34+I37+I61+I58+I55+I52+I49+I43+I46+I40)),"0,00%",(N32+N33+N35+N36+N38+N39+N65+N66+N62+N63+N56+N57+N59+N60+N53+N54+N50+N51+N44+N45+N47+N48+N41+N42)/(I31+I34+I37+I61+I58+I55+I52+I49+I43+I46+I40))</f>
        <v>1</v>
      </c>
      <c r="M64" s="51" t="s">
        <v>47</v>
      </c>
      <c r="N64" s="31">
        <f>SUM(O64:Q64)</f>
        <v>213325</v>
      </c>
      <c r="O64" s="35">
        <f>SUM(O65:O66)</f>
        <v>181326.25</v>
      </c>
      <c r="P64" s="35">
        <f>SUM(P65:P66)</f>
        <v>0</v>
      </c>
      <c r="Q64" s="32">
        <v>31998.75</v>
      </c>
      <c r="R64" s="36"/>
      <c r="S64" s="51" t="s">
        <v>47</v>
      </c>
      <c r="T64" s="48"/>
      <c r="U64" s="49"/>
      <c r="V64" s="49"/>
      <c r="W64" s="50"/>
      <c r="X64" s="41">
        <f t="shared" si="0"/>
        <v>0</v>
      </c>
      <c r="Y64" s="41">
        <f>IF(L64="0,00%","0",IF(L64&gt;1,1,0))</f>
        <v>0</v>
      </c>
      <c r="Z64" s="41">
        <f>IF($H$6="tak",0,IF(AND(I64&gt;0,L64&lt;70%),1,0))</f>
        <v>0</v>
      </c>
      <c r="AA64" s="41">
        <f>IF(ISERROR(IF(F64&gt;0,YEAR(F64),"")),"",IF(F64&gt;0,YEAR(F64),""))</f>
        <v>2023</v>
      </c>
      <c r="AB64" s="41">
        <f>IF(ISERROR(IF(G64&gt;0,YEAR(G64),"")),"",IF(G64&gt;0,YEAR(G64),""))</f>
        <v>2023</v>
      </c>
      <c r="AC64" s="41">
        <v>0</v>
      </c>
      <c r="AD64" s="41"/>
      <c r="AE64" s="41">
        <f>(I32+I33+I35+I36+I38+I39+I65+I66+I62+I63+I56+I57+I59+I60+I53+I54+I50+I51+I44+I45+I47+I48+I41+I42)</f>
        <v>1359256.25</v>
      </c>
      <c r="AF64" s="41">
        <f>(AG32+AG33+AG35+AG36+AG38+AG39+AG65+AG66+AG62+AG63+AG56+AG57+AG59+AG60+AG53+AG54+AG50+AG51+AG44+AG45+AG47+AG48+AG41+AG42)</f>
        <v>1359256.25</v>
      </c>
      <c r="AG64" s="41">
        <f t="shared" si="1"/>
        <v>0</v>
      </c>
      <c r="AH64" s="41">
        <f>J64</f>
        <v>0</v>
      </c>
      <c r="AI64" s="41">
        <f>K64</f>
        <v>0</v>
      </c>
      <c r="AJ64" s="41">
        <f>(N32+N33+N35+N36+N38+N39+N65+N66+N62+N63+N56+N57+N59+N60+N53+N54+N50+N51+N44+N45+N47+N48+N41+N42)</f>
        <v>1359256.25</v>
      </c>
      <c r="AK64" s="41"/>
      <c r="AL64" s="41">
        <f>IF(AJ64=1,$AK$77,0)</f>
        <v>0</v>
      </c>
      <c r="AM64" s="41">
        <f>IF(AJ64=1,$AK$78,0)</f>
        <v>0</v>
      </c>
      <c r="AN64" s="41"/>
      <c r="AO64" s="41">
        <f>IF(AND(AF64=$H$9,AG64&lt;&gt;0,C64&lt;&gt;1900),1,0)</f>
        <v>0</v>
      </c>
      <c r="AP64" s="41"/>
      <c r="AQ64" s="41">
        <f>IF(AO64=1,$AL$77,0)</f>
        <v>0</v>
      </c>
      <c r="AR64" s="41">
        <f>IF(AO64=1,$AL$78,0)</f>
        <v>0</v>
      </c>
      <c r="AS64" s="41"/>
      <c r="AT64" s="41">
        <f>IF(AND(G64=$H$16,I64&lt;&gt;0),1,0)</f>
        <v>0</v>
      </c>
    </row>
    <row r="65" spans="1:46" ht="30" customHeight="1">
      <c r="B65" s="123"/>
      <c r="C65" s="124"/>
      <c r="D65" s="125"/>
      <c r="E65" s="126"/>
      <c r="F65" s="127"/>
      <c r="G65" s="128"/>
      <c r="H65" s="51" t="s">
        <v>48</v>
      </c>
      <c r="I65" s="42">
        <f>IFERROR(J65+K65,0)</f>
        <v>0</v>
      </c>
      <c r="J65" s="43">
        <f>IFERROR(AH65+AQ64,0)</f>
        <v>0</v>
      </c>
      <c r="K65" s="43">
        <f>IFERROR(AI65,0)</f>
        <v>0</v>
      </c>
      <c r="L65" s="44" t="str">
        <f>IF(ISERROR(I65/I64),"-",I65/I64)</f>
        <v>-</v>
      </c>
      <c r="M65" s="51" t="s">
        <v>48</v>
      </c>
      <c r="N65" s="42">
        <f>SUM(O65:P65)</f>
        <v>181326.25</v>
      </c>
      <c r="O65" s="45">
        <v>181326.25</v>
      </c>
      <c r="P65" s="45">
        <v>0</v>
      </c>
      <c r="Q65" s="61"/>
      <c r="R65" s="44">
        <f>IF(ISERROR(N65/(N64-Q64)),"-",(N65/(N64-Q64)))</f>
        <v>1</v>
      </c>
      <c r="S65" s="51" t="s">
        <v>48</v>
      </c>
      <c r="T65" s="48"/>
      <c r="U65" s="49"/>
      <c r="V65" s="49"/>
      <c r="W65" s="50"/>
      <c r="X65" s="41">
        <f t="shared" si="0"/>
        <v>0</v>
      </c>
      <c r="Y65" s="41"/>
      <c r="Z65" s="41"/>
      <c r="AA65" s="41"/>
      <c r="AB65" s="41"/>
      <c r="AC65" s="41"/>
      <c r="AD65" s="41"/>
      <c r="AE65" s="41"/>
      <c r="AF65" s="41"/>
      <c r="AG65" s="41">
        <f t="shared" si="1"/>
        <v>0</v>
      </c>
      <c r="AH65" s="41">
        <f>ROUND(AH64*$Q$11,2)</f>
        <v>0</v>
      </c>
      <c r="AI65" s="41">
        <f>ROUND(AI64*$Q$11,2)</f>
        <v>0</v>
      </c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</row>
    <row r="66" spans="1:46" ht="30" customHeight="1">
      <c r="B66" s="123"/>
      <c r="C66" s="124"/>
      <c r="D66" s="125"/>
      <c r="E66" s="126"/>
      <c r="F66" s="127"/>
      <c r="G66" s="128"/>
      <c r="H66" s="51" t="s">
        <v>50</v>
      </c>
      <c r="I66" s="52">
        <f>IFERROR(J66+K66,0)</f>
        <v>0</v>
      </c>
      <c r="J66" s="53">
        <f>IFERROR(AH66+AR64,0)</f>
        <v>0</v>
      </c>
      <c r="K66" s="53">
        <f>IFERROR(AI66,0)</f>
        <v>0</v>
      </c>
      <c r="L66" s="44" t="str">
        <f>IF(ISERROR(I66/I64),"-",I66/I64)</f>
        <v>-</v>
      </c>
      <c r="M66" s="30" t="s">
        <v>50</v>
      </c>
      <c r="N66" s="54">
        <f>SUM(O66:P66)</f>
        <v>0</v>
      </c>
      <c r="O66" s="45">
        <v>0</v>
      </c>
      <c r="P66" s="45">
        <v>0</v>
      </c>
      <c r="Q66" s="62"/>
      <c r="R66" s="44">
        <f>IF(ISERROR(N66/(N64-Q64)),"-",(N66/(N64-Q64)))</f>
        <v>0</v>
      </c>
      <c r="S66" s="51" t="s">
        <v>50</v>
      </c>
      <c r="T66" s="48"/>
      <c r="U66" s="49"/>
      <c r="V66" s="49"/>
      <c r="W66" s="50"/>
      <c r="X66" s="41">
        <f t="shared" si="0"/>
        <v>0</v>
      </c>
      <c r="Y66" s="41"/>
      <c r="Z66" s="41"/>
      <c r="AA66" s="41"/>
      <c r="AB66" s="41"/>
      <c r="AC66" s="41"/>
      <c r="AD66" s="41"/>
      <c r="AE66" s="41"/>
      <c r="AF66" s="41"/>
      <c r="AG66" s="41">
        <f t="shared" si="1"/>
        <v>0</v>
      </c>
      <c r="AH66" s="41">
        <f>ROUND(AH64*$Q$12,2)</f>
        <v>0</v>
      </c>
      <c r="AI66" s="41">
        <f>ROUND(AI64*$Q$12,2)</f>
        <v>0</v>
      </c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</row>
    <row r="67" spans="1:46" ht="30" customHeight="1">
      <c r="B67" s="123">
        <v>13</v>
      </c>
      <c r="C67" s="124">
        <f>YEAR(G67)</f>
        <v>1900</v>
      </c>
      <c r="D67" s="125">
        <f>CEILING(MONTH(G67)/3,1)</f>
        <v>1</v>
      </c>
      <c r="E67" s="126">
        <f>G67</f>
        <v>0</v>
      </c>
      <c r="F67" s="127">
        <f>IF(G64&gt;0,(G64+1),"")</f>
        <v>45200</v>
      </c>
      <c r="G67" s="128"/>
      <c r="H67" s="51" t="s">
        <v>47</v>
      </c>
      <c r="I67" s="31">
        <f>J67+K67</f>
        <v>0</v>
      </c>
      <c r="J67" s="32">
        <v>0</v>
      </c>
      <c r="K67" s="32">
        <v>0</v>
      </c>
      <c r="L67" s="57">
        <f>IF(ISERROR((N32+N33+N35+N36+N38+N39+N41+N42+N68+N69+N65+N66+N59+N60+N62+N63+N56+N57+N53+N54+N47+N48+N50+N51+N44+N45)/(I34+I37+I40+I64+I61+I58+I55+I52+I46+I49+I43+I31)),"0,00%",(N32+N33+N35+N36+N38+N39+N41+N42+N68+N69+N65+N66+N59+N60+N62+N63+N56+N57+N53+N54+N47+N48+N50+N51+N44+N45)/(I34+I37+I40+I64+I61+I58+I55+I52+I46+I49+I43+I31))</f>
        <v>1</v>
      </c>
      <c r="M67" s="51" t="s">
        <v>47</v>
      </c>
      <c r="N67" s="31">
        <f>SUM(O67:Q67)</f>
        <v>0</v>
      </c>
      <c r="O67" s="35">
        <f>SUM(O68:O69)</f>
        <v>0</v>
      </c>
      <c r="P67" s="35">
        <f>SUM(P68:P69)</f>
        <v>0</v>
      </c>
      <c r="Q67" s="32">
        <v>0</v>
      </c>
      <c r="R67" s="36"/>
      <c r="S67" s="51" t="s">
        <v>47</v>
      </c>
      <c r="T67" s="48"/>
      <c r="U67" s="49"/>
      <c r="V67" s="49"/>
      <c r="W67" s="50"/>
      <c r="X67" s="41">
        <f t="shared" si="0"/>
        <v>1</v>
      </c>
      <c r="Y67" s="41">
        <f>IF(L67="0,00%","0",IF(L67&gt;1,1,0))</f>
        <v>0</v>
      </c>
      <c r="Z67" s="41">
        <f>IF($H$6="tak",0,IF(AND(I67&gt;0,L67&lt;70%),1,0))</f>
        <v>0</v>
      </c>
      <c r="AA67" s="41">
        <f>IF(ISERROR(IF(F67&gt;0,YEAR(F67),"")),"",IF(F67&gt;0,YEAR(F67),""))</f>
        <v>2023</v>
      </c>
      <c r="AB67" s="41" t="str">
        <f>IF(ISERROR(IF(G67&gt;0,YEAR(G67),"")),"",IF(G67&gt;0,YEAR(G67),""))</f>
        <v/>
      </c>
      <c r="AC67" s="41">
        <v>0</v>
      </c>
      <c r="AD67" s="41"/>
      <c r="AE67" s="41">
        <f>(I32+I33+I35+I36+I38+I39+I41+I42+I68+I69+I65+I66+I59+I60+I62+I63+I56+I57+I53+I54+I47+I48+I50+I51+I44+I45)</f>
        <v>1359256.25</v>
      </c>
      <c r="AF67" s="41">
        <f>(AG32+AG33+AG35+AG36+AG38+AG39+AG41+AG42+AG68+AG69+AG65+AG66+AG59+AG60+AG62+AG63+AG56+AG57+AG53+AG54+AG47+AG48+AG50+AG51+AG44+AG45)</f>
        <v>1359256.25</v>
      </c>
      <c r="AG67" s="41">
        <f t="shared" si="1"/>
        <v>0</v>
      </c>
      <c r="AH67" s="41">
        <f>J67</f>
        <v>0</v>
      </c>
      <c r="AI67" s="41">
        <f>K67</f>
        <v>0</v>
      </c>
      <c r="AJ67" s="41">
        <f>(N32+N33+N35+N36+N38+N39+N41+N42+N68+N69+N65+N66+N59+N60+N62+N63+N56+N57+N53+N54+N47+N48+N50+N51+N44+N45)</f>
        <v>1359256.25</v>
      </c>
      <c r="AK67" s="41"/>
      <c r="AL67" s="41">
        <f>IF(AJ67=1,$AK$77,0)</f>
        <v>0</v>
      </c>
      <c r="AM67" s="41">
        <f>IF(AJ67=1,$AK$78,0)</f>
        <v>0</v>
      </c>
      <c r="AN67" s="41"/>
      <c r="AO67" s="41">
        <f>IF(AND(AF67=$H$9,AG67&lt;&gt;0,C67&lt;&gt;1900),1,0)</f>
        <v>0</v>
      </c>
      <c r="AP67" s="41"/>
      <c r="AQ67" s="41">
        <f>IF(AO67=1,$AL$77,0)</f>
        <v>0</v>
      </c>
      <c r="AR67" s="41">
        <f>IF(AO67=1,$AL$78,0)</f>
        <v>0</v>
      </c>
      <c r="AS67" s="41"/>
      <c r="AT67" s="41">
        <f>IF(AND(G67=$H$16,I67&lt;&gt;0),1,0)</f>
        <v>0</v>
      </c>
    </row>
    <row r="68" spans="1:46" ht="30" customHeight="1">
      <c r="B68" s="123"/>
      <c r="C68" s="124"/>
      <c r="D68" s="125"/>
      <c r="E68" s="126"/>
      <c r="F68" s="127"/>
      <c r="G68" s="128"/>
      <c r="H68" s="51" t="s">
        <v>48</v>
      </c>
      <c r="I68" s="42">
        <f>IFERROR(J68+K68,0)</f>
        <v>0</v>
      </c>
      <c r="J68" s="43">
        <f>IFERROR(AH68+AQ67,0)</f>
        <v>0</v>
      </c>
      <c r="K68" s="43">
        <f>IFERROR(AI68,0)</f>
        <v>0</v>
      </c>
      <c r="L68" s="44" t="str">
        <f>IF(ISERROR(I68/I67),"-",I68/I67)</f>
        <v>-</v>
      </c>
      <c r="M68" s="51" t="s">
        <v>48</v>
      </c>
      <c r="N68" s="42">
        <f>SUM(O68:P68)</f>
        <v>0</v>
      </c>
      <c r="O68" s="45">
        <v>0</v>
      </c>
      <c r="P68" s="45">
        <v>0</v>
      </c>
      <c r="Q68" s="61"/>
      <c r="R68" s="44" t="str">
        <f>IF(ISERROR(N68/(N67-Q67)),"-",(N68/(N67-Q67)))</f>
        <v>-</v>
      </c>
      <c r="S68" s="51" t="s">
        <v>48</v>
      </c>
      <c r="T68" s="48"/>
      <c r="U68" s="49"/>
      <c r="V68" s="49"/>
      <c r="W68" s="50"/>
      <c r="X68" s="41">
        <f t="shared" si="0"/>
        <v>0</v>
      </c>
      <c r="Y68" s="41"/>
      <c r="Z68" s="41"/>
      <c r="AA68" s="41"/>
      <c r="AB68" s="41"/>
      <c r="AC68" s="41"/>
      <c r="AD68" s="41"/>
      <c r="AE68" s="41"/>
      <c r="AF68" s="41"/>
      <c r="AG68" s="41">
        <f t="shared" si="1"/>
        <v>0</v>
      </c>
      <c r="AH68" s="41">
        <f>ROUND(AH67*$Q$11,2)</f>
        <v>0</v>
      </c>
      <c r="AI68" s="41">
        <f>ROUND(AI67*$Q$11,2)</f>
        <v>0</v>
      </c>
      <c r="AJ68" s="41"/>
      <c r="AK68" s="41"/>
      <c r="AL68" s="41"/>
      <c r="AM68" s="41"/>
      <c r="AN68" s="41"/>
      <c r="AO68" s="41"/>
      <c r="AP68" s="41"/>
      <c r="AQ68" s="41"/>
      <c r="AR68" s="41"/>
      <c r="AS68" s="41"/>
      <c r="AT68" s="41"/>
    </row>
    <row r="69" spans="1:46" ht="30" customHeight="1">
      <c r="B69" s="123"/>
      <c r="C69" s="124"/>
      <c r="D69" s="125"/>
      <c r="E69" s="126"/>
      <c r="F69" s="127"/>
      <c r="G69" s="128"/>
      <c r="H69" s="51" t="s">
        <v>50</v>
      </c>
      <c r="I69" s="52">
        <f>IFERROR(J69+K69,0)</f>
        <v>0</v>
      </c>
      <c r="J69" s="53">
        <f>IFERROR(AH69+AR67,0)</f>
        <v>0</v>
      </c>
      <c r="K69" s="53">
        <f>IFERROR(AI69,0)</f>
        <v>0</v>
      </c>
      <c r="L69" s="44" t="str">
        <f>IF(ISERROR(I69/I67),"-",I69/I67)</f>
        <v>-</v>
      </c>
      <c r="M69" s="30" t="s">
        <v>50</v>
      </c>
      <c r="N69" s="54">
        <f>SUM(O69:P69)</f>
        <v>0</v>
      </c>
      <c r="O69" s="45">
        <v>0</v>
      </c>
      <c r="P69" s="45">
        <v>0</v>
      </c>
      <c r="Q69" s="62"/>
      <c r="R69" s="44" t="str">
        <f>IF(ISERROR(N69/(N67-Q67)),"-",(N69/(N67-Q67)))</f>
        <v>-</v>
      </c>
      <c r="S69" s="51" t="s">
        <v>50</v>
      </c>
      <c r="T69" s="48"/>
      <c r="U69" s="49"/>
      <c r="V69" s="49"/>
      <c r="W69" s="50"/>
      <c r="X69" s="41">
        <f t="shared" si="0"/>
        <v>0</v>
      </c>
      <c r="Y69" s="41"/>
      <c r="Z69" s="41"/>
      <c r="AA69" s="41"/>
      <c r="AB69" s="41"/>
      <c r="AC69" s="41"/>
      <c r="AD69" s="41"/>
      <c r="AE69" s="41"/>
      <c r="AF69" s="41"/>
      <c r="AG69" s="41">
        <f t="shared" si="1"/>
        <v>0</v>
      </c>
      <c r="AH69" s="41">
        <f>ROUND(AH67*$Q$12,2)</f>
        <v>0</v>
      </c>
      <c r="AI69" s="41">
        <f>ROUND(AI67*$Q$12,2)</f>
        <v>0</v>
      </c>
      <c r="AJ69" s="41"/>
      <c r="AK69" s="41"/>
      <c r="AL69" s="41"/>
      <c r="AM69" s="41"/>
      <c r="AN69" s="41"/>
      <c r="AO69" s="41"/>
      <c r="AP69" s="41"/>
      <c r="AQ69" s="41"/>
      <c r="AR69" s="41"/>
      <c r="AS69" s="41"/>
      <c r="AT69" s="41"/>
    </row>
    <row r="70" spans="1:46" ht="30" customHeight="1">
      <c r="B70" s="123">
        <v>14</v>
      </c>
      <c r="C70" s="124">
        <f>YEAR(G70)</f>
        <v>1900</v>
      </c>
      <c r="D70" s="125">
        <f>CEILING(MONTH(G70)/3,1)</f>
        <v>1</v>
      </c>
      <c r="E70" s="126">
        <f>G70</f>
        <v>0</v>
      </c>
      <c r="F70" s="127" t="str">
        <f>IF(G67&gt;0,(G67+1),"")</f>
        <v/>
      </c>
      <c r="G70" s="128"/>
      <c r="H70" s="51" t="s">
        <v>47</v>
      </c>
      <c r="I70" s="31">
        <f>J70+K70</f>
        <v>0</v>
      </c>
      <c r="J70" s="32">
        <v>0</v>
      </c>
      <c r="K70" s="32">
        <v>0</v>
      </c>
      <c r="L70" s="57">
        <f>IF(ISERROR((N32+N33+N35+N36+N38+N39+N41+N42+N44+N45+N71+N72+N68+N69+N62+N63+N65+N66+N59+N60+N56+N57+N50+N51+N53+N54+N47+N48)/(I37+I40+I43+I64+I61+I58+I55+I49+I52+I46+I34+I67+I31)),"0,00%",(N32+N33+N35+N36+N38+N39+N41+N42+N44+N45+N71+N72+N68+N69+N62+N63+N65+N66+N59+N60+N56+N57+N50+N51+N53+N54+N47+N48)/(I37+I40+I43+I64+I61+I58+I55+I49+I52+I46+I34+I67+I31))</f>
        <v>1</v>
      </c>
      <c r="M70" s="51" t="s">
        <v>47</v>
      </c>
      <c r="N70" s="31">
        <f>SUM(O70:Q70)</f>
        <v>0</v>
      </c>
      <c r="O70" s="35">
        <f>SUM(O71:O72)</f>
        <v>0</v>
      </c>
      <c r="P70" s="35">
        <f>SUM(P71:P72)</f>
        <v>0</v>
      </c>
      <c r="Q70" s="32">
        <v>0</v>
      </c>
      <c r="R70" s="36"/>
      <c r="S70" s="51" t="s">
        <v>47</v>
      </c>
      <c r="T70" s="48"/>
      <c r="U70" s="49"/>
      <c r="V70" s="49"/>
      <c r="W70" s="50"/>
      <c r="X70" s="41">
        <f t="shared" si="0"/>
        <v>0</v>
      </c>
      <c r="Y70" s="41">
        <f>IF(L70="0,00%","0",IF(L70&gt;1,1,0))</f>
        <v>0</v>
      </c>
      <c r="Z70" s="41">
        <f>IF($H$6="tak",0,IF(AND(I70&gt;0,L70&lt;70%),1,0))</f>
        <v>0</v>
      </c>
      <c r="AA70" s="41" t="str">
        <f>IF(ISERROR(IF(F70&gt;0,YEAR(F70),"")),"",IF(F70&gt;0,YEAR(F70),""))</f>
        <v/>
      </c>
      <c r="AB70" s="41" t="str">
        <f>IF(ISERROR(IF(G70&gt;0,YEAR(G70),"")),"",IF(G70&gt;0,YEAR(G70),""))</f>
        <v/>
      </c>
      <c r="AC70" s="41">
        <v>0</v>
      </c>
      <c r="AD70" s="41"/>
      <c r="AE70" s="41">
        <f>(I32+I33+I35+I36+I38+I39+I41+I42+I44+I45+I71+I72+I68+I69+I62+I63+I65+I66+I59+I60+I56+I57+I50+I51+I53+I54+I47+I48)</f>
        <v>1359256.25</v>
      </c>
      <c r="AF70" s="41">
        <f>(AG32+AG33+AG35+AG36+AG38+AG39+AG41+AG42+AG44+AG45+AG71+AG72+AG68+AG69+AG62+AG63+AG65+AG66+AG59+AG60+AG56+AG57+AG50+AG51+AG53+AG54+AG47+AG48)</f>
        <v>1359256.25</v>
      </c>
      <c r="AG70" s="41">
        <f t="shared" si="1"/>
        <v>0</v>
      </c>
      <c r="AH70" s="41">
        <f>J70</f>
        <v>0</v>
      </c>
      <c r="AI70" s="41">
        <f>K70</f>
        <v>0</v>
      </c>
      <c r="AJ70" s="41">
        <f>(N32+N33+N35+N36+N38+N39+N41+N42+N44+N45+N71+N72+N68+N69+N62+N63+N65+N66+N59+N60+N56+N57+N50+N51+N53+N54+N47+N48)</f>
        <v>1359256.25</v>
      </c>
      <c r="AK70" s="41"/>
      <c r="AL70" s="41">
        <f>IF(AJ70=1,$AK$77,0)</f>
        <v>0</v>
      </c>
      <c r="AM70" s="41">
        <f>IF(AJ70=1,$AK$78,0)</f>
        <v>0</v>
      </c>
      <c r="AN70" s="41"/>
      <c r="AO70" s="41">
        <f>IF(AND(AF70=$H$9,AG70&lt;&gt;0,C70&lt;&gt;1900),1,0)</f>
        <v>0</v>
      </c>
      <c r="AP70" s="41"/>
      <c r="AQ70" s="41">
        <f>IF(AO70=1,$AL$77,0)</f>
        <v>0</v>
      </c>
      <c r="AR70" s="41">
        <f>IF(AO70=1,$AL$78,0)</f>
        <v>0</v>
      </c>
      <c r="AS70" s="41"/>
      <c r="AT70" s="41">
        <f>IF(AND(G70=$H$16,I70&lt;&gt;0),1,0)</f>
        <v>0</v>
      </c>
    </row>
    <row r="71" spans="1:46" ht="30" customHeight="1">
      <c r="B71" s="123"/>
      <c r="C71" s="124"/>
      <c r="D71" s="125"/>
      <c r="E71" s="126"/>
      <c r="F71" s="127"/>
      <c r="G71" s="128"/>
      <c r="H71" s="51" t="s">
        <v>48</v>
      </c>
      <c r="I71" s="42">
        <f>IFERROR(J71+K71,0)</f>
        <v>0</v>
      </c>
      <c r="J71" s="43">
        <f>IFERROR(AH71+AQ70,0)</f>
        <v>0</v>
      </c>
      <c r="K71" s="43">
        <f>IFERROR(AI71,0)</f>
        <v>0</v>
      </c>
      <c r="L71" s="44" t="str">
        <f>IF(ISERROR(I71/I70),"-",I71/I70)</f>
        <v>-</v>
      </c>
      <c r="M71" s="51" t="s">
        <v>48</v>
      </c>
      <c r="N71" s="42">
        <f>SUM(O71:P71)</f>
        <v>0</v>
      </c>
      <c r="O71" s="45">
        <v>0</v>
      </c>
      <c r="P71" s="45">
        <v>0</v>
      </c>
      <c r="Q71" s="61"/>
      <c r="R71" s="44" t="str">
        <f>IF(ISERROR(N71/(N70-Q70)),"-",(N71/(N70-Q70)))</f>
        <v>-</v>
      </c>
      <c r="S71" s="51" t="s">
        <v>48</v>
      </c>
      <c r="T71" s="48"/>
      <c r="U71" s="49"/>
      <c r="V71" s="49"/>
      <c r="W71" s="50"/>
      <c r="X71" s="41">
        <f t="shared" si="0"/>
        <v>0</v>
      </c>
      <c r="Y71" s="41"/>
      <c r="Z71" s="41"/>
      <c r="AA71" s="41"/>
      <c r="AB71" s="41"/>
      <c r="AC71" s="41"/>
      <c r="AD71" s="41"/>
      <c r="AE71" s="41"/>
      <c r="AF71" s="41"/>
      <c r="AG71" s="41">
        <f t="shared" si="1"/>
        <v>0</v>
      </c>
      <c r="AH71" s="41">
        <f>ROUND(AH70*$Q$11,2)</f>
        <v>0</v>
      </c>
      <c r="AI71" s="41">
        <f>ROUND(AI70*$Q$11,2)</f>
        <v>0</v>
      </c>
      <c r="AJ71" s="41"/>
      <c r="AK71" s="41"/>
      <c r="AL71" s="41"/>
      <c r="AM71" s="41"/>
      <c r="AN71" s="41"/>
      <c r="AO71" s="41"/>
      <c r="AP71" s="41"/>
      <c r="AQ71" s="41"/>
      <c r="AR71" s="41"/>
      <c r="AS71" s="41"/>
      <c r="AT71" s="41"/>
    </row>
    <row r="72" spans="1:46" ht="30" customHeight="1">
      <c r="B72" s="123"/>
      <c r="C72" s="124"/>
      <c r="D72" s="125"/>
      <c r="E72" s="126"/>
      <c r="F72" s="127"/>
      <c r="G72" s="128"/>
      <c r="H72" s="51" t="s">
        <v>50</v>
      </c>
      <c r="I72" s="52">
        <f>IFERROR(J72+K72,0)</f>
        <v>0</v>
      </c>
      <c r="J72" s="53">
        <f>IFERROR(AH72+AR70,0)</f>
        <v>0</v>
      </c>
      <c r="K72" s="53">
        <f>IFERROR(AI72,0)</f>
        <v>0</v>
      </c>
      <c r="L72" s="44" t="str">
        <f>IF(ISERROR(I72/I70),"-",I72/I70)</f>
        <v>-</v>
      </c>
      <c r="M72" s="30" t="s">
        <v>50</v>
      </c>
      <c r="N72" s="54">
        <f>SUM(O72:P72)</f>
        <v>0</v>
      </c>
      <c r="O72" s="45">
        <v>0</v>
      </c>
      <c r="P72" s="45">
        <v>0</v>
      </c>
      <c r="Q72" s="62"/>
      <c r="R72" s="44" t="str">
        <f>IF(ISERROR(N72/(N70-Q70)),"-",(N72/(N70-Q70)))</f>
        <v>-</v>
      </c>
      <c r="S72" s="51" t="s">
        <v>50</v>
      </c>
      <c r="T72" s="48"/>
      <c r="U72" s="49"/>
      <c r="V72" s="49"/>
      <c r="W72" s="50"/>
      <c r="X72" s="41">
        <f t="shared" si="0"/>
        <v>0</v>
      </c>
      <c r="Y72" s="41"/>
      <c r="Z72" s="41"/>
      <c r="AA72" s="41"/>
      <c r="AB72" s="41"/>
      <c r="AC72" s="41"/>
      <c r="AD72" s="41"/>
      <c r="AE72" s="41"/>
      <c r="AF72" s="41"/>
      <c r="AG72" s="41">
        <f t="shared" si="1"/>
        <v>0</v>
      </c>
      <c r="AH72" s="41">
        <f>ROUND(AH70*$Q$12,2)</f>
        <v>0</v>
      </c>
      <c r="AI72" s="41">
        <f>ROUND(AI70*$Q$12,2)</f>
        <v>0</v>
      </c>
      <c r="AJ72" s="41"/>
      <c r="AK72" s="41"/>
      <c r="AL72" s="41"/>
      <c r="AM72" s="41"/>
      <c r="AN72" s="41"/>
      <c r="AO72" s="41"/>
      <c r="AP72" s="41"/>
      <c r="AQ72" s="41"/>
      <c r="AR72" s="41"/>
      <c r="AS72" s="41"/>
      <c r="AT72" s="41"/>
    </row>
    <row r="73" spans="1:46" ht="30" customHeight="1">
      <c r="B73" s="123">
        <v>15</v>
      </c>
      <c r="C73" s="124">
        <f>YEAR(G73)</f>
        <v>1900</v>
      </c>
      <c r="D73" s="125">
        <f>CEILING(MONTH(G73)/3,1)</f>
        <v>1</v>
      </c>
      <c r="E73" s="126">
        <f>G73</f>
        <v>0</v>
      </c>
      <c r="F73" s="127" t="str">
        <f>IF(G70&gt;0,(G70+1),"")</f>
        <v/>
      </c>
      <c r="G73" s="128"/>
      <c r="H73" s="51" t="s">
        <v>47</v>
      </c>
      <c r="I73" s="31">
        <f>J73+K73</f>
        <v>0</v>
      </c>
      <c r="J73" s="32">
        <v>0</v>
      </c>
      <c r="K73" s="32">
        <v>0</v>
      </c>
      <c r="L73" s="57">
        <f>IF(ISERROR((N35+N36+N38+N39+N41+N42+N44+N45+N47+N48+N74+N75+N71+N72+N65+N66+N68+N69+N62+N63+N59+N60+N53+N54+N56+N57+N50+N51+N32+N33)/(I40+I43+I46+I67+I64+I61+I58+I52+I55+I49+I37+I70+I34+I31)),"0,00%",(N35+N36+N38+N39+N41+N42+N44+N45+N47+N48+N74+N75+N71+N72+N65+N66+N68+N69+N62+N63+N59+N60+N53+N54+N56+N57+N50+N51+N32+N33)/(I40+I43+I46+I67+I64+I61+I58+I52+I55+I49+I37+I70+I34+I31))</f>
        <v>1</v>
      </c>
      <c r="M73" s="51" t="s">
        <v>47</v>
      </c>
      <c r="N73" s="31">
        <f>SUM(O73:Q73)</f>
        <v>0</v>
      </c>
      <c r="O73" s="35">
        <f>SUM(O74:O75)</f>
        <v>0</v>
      </c>
      <c r="P73" s="35">
        <f>SUM(P74:P75)</f>
        <v>0</v>
      </c>
      <c r="Q73" s="32">
        <v>0</v>
      </c>
      <c r="R73" s="36"/>
      <c r="S73" s="51" t="s">
        <v>47</v>
      </c>
      <c r="T73" s="48"/>
      <c r="U73" s="49"/>
      <c r="V73" s="49"/>
      <c r="W73" s="50"/>
      <c r="X73" s="41">
        <f t="shared" si="0"/>
        <v>0</v>
      </c>
      <c r="Y73" s="41">
        <f>IF(L73="0,00%","0",IF(L73&gt;1,1,0))</f>
        <v>0</v>
      </c>
      <c r="Z73" s="41">
        <f>IF($H$6="tak",0,IF(AND(I73&gt;0,L73&lt;70%),1,0))</f>
        <v>0</v>
      </c>
      <c r="AA73" s="41" t="str">
        <f>IF(ISERROR(IF(F73&gt;0,YEAR(F73),"")),"",IF(F73&gt;0,YEAR(F73),""))</f>
        <v/>
      </c>
      <c r="AB73" s="41" t="str">
        <f>IF(ISERROR(IF(G73&gt;0,YEAR(G73),"")),"",IF(G73&gt;0,YEAR(G73),""))</f>
        <v/>
      </c>
      <c r="AC73" s="41">
        <v>0</v>
      </c>
      <c r="AD73" s="41"/>
      <c r="AE73" s="41">
        <f>(I35+I36+I38+I39+I41+I42+I44+I45+I47+I48+I74+I75+I71+I72+I65+I66+I68+I69+I62+I63+I59+I60+I53+I54+I56+I57+I50+I51+I32+I33)</f>
        <v>1359256.25</v>
      </c>
      <c r="AF73" s="41">
        <f>(AG35+AG36+AG38+AG39+AG41+AG42+AG44+AG45+AG47+AG48+AG74+AG75+AG71+AG72+AG65+AG66+AG68+AG69+AG62+AG63+AG59+AG60+AG53+AG54+AG56+AG57+AG50+AG51+AG32+AG33)</f>
        <v>1359256.25</v>
      </c>
      <c r="AG73" s="41">
        <f t="shared" si="1"/>
        <v>0</v>
      </c>
      <c r="AH73" s="41">
        <f>J73</f>
        <v>0</v>
      </c>
      <c r="AI73" s="41">
        <f>K73</f>
        <v>0</v>
      </c>
      <c r="AJ73" s="41">
        <f>(N35+N36+N38+N39+N41+N42+N44+N45+N47+N48+N74+N75+N71+N72+N65+N66+N68+N69+N62+N63+N59+N60+N53+N54+N56+N57+N50+N51+N32+N33)</f>
        <v>1359256.25</v>
      </c>
      <c r="AK73" s="41"/>
      <c r="AL73" s="41">
        <f>IF(AJ73=1,$AK$77,0)</f>
        <v>0</v>
      </c>
      <c r="AM73" s="41">
        <f>IF(AJ73=1,$AK$78,0)</f>
        <v>0</v>
      </c>
      <c r="AN73" s="41"/>
      <c r="AO73" s="41">
        <f>IF(AND(AF73=$H$9,AG73&lt;&gt;0,C73&lt;&gt;1900),1,0)</f>
        <v>0</v>
      </c>
      <c r="AP73" s="41"/>
      <c r="AQ73" s="41">
        <f>IF(AO73=1,$AL$77,0)</f>
        <v>0</v>
      </c>
      <c r="AR73" s="41">
        <f>IF(AO73=1,$AL$78,0)</f>
        <v>0</v>
      </c>
      <c r="AS73" s="41"/>
      <c r="AT73" s="41">
        <f>IF(AND(G73=$H$16,I73&lt;&gt;0),1,0)</f>
        <v>0</v>
      </c>
    </row>
    <row r="74" spans="1:46" ht="30" customHeight="1">
      <c r="B74" s="123"/>
      <c r="C74" s="124"/>
      <c r="D74" s="125"/>
      <c r="E74" s="126"/>
      <c r="F74" s="127"/>
      <c r="G74" s="128"/>
      <c r="H74" s="51" t="s">
        <v>48</v>
      </c>
      <c r="I74" s="42">
        <f>IFERROR(J74+K74,0)</f>
        <v>0</v>
      </c>
      <c r="J74" s="43">
        <f>IFERROR(AH74+AQ73,0)</f>
        <v>0</v>
      </c>
      <c r="K74" s="43">
        <f>IFERROR(AI74,0)</f>
        <v>0</v>
      </c>
      <c r="L74" s="44" t="str">
        <f>IF(ISERROR(I74/I73),"-",I74/I73)</f>
        <v>-</v>
      </c>
      <c r="M74" s="51" t="s">
        <v>48</v>
      </c>
      <c r="N74" s="42">
        <f>SUM(O74:P74)</f>
        <v>0</v>
      </c>
      <c r="O74" s="45">
        <v>0</v>
      </c>
      <c r="P74" s="45">
        <v>0</v>
      </c>
      <c r="Q74" s="61"/>
      <c r="R74" s="44" t="str">
        <f>IF(ISERROR(N74/(N73-Q73)),"-",(N74/(N73-Q73)))</f>
        <v>-</v>
      </c>
      <c r="S74" s="51" t="s">
        <v>48</v>
      </c>
      <c r="T74" s="48"/>
      <c r="U74" s="49"/>
      <c r="V74" s="49"/>
      <c r="W74" s="50"/>
      <c r="X74" s="41">
        <f t="shared" si="0"/>
        <v>0</v>
      </c>
      <c r="Y74" s="41"/>
      <c r="Z74" s="41"/>
      <c r="AA74" s="41"/>
      <c r="AB74" s="41"/>
      <c r="AC74" s="41"/>
      <c r="AD74" s="41"/>
      <c r="AE74" s="41"/>
      <c r="AF74" s="41"/>
      <c r="AG74" s="41">
        <f t="shared" si="1"/>
        <v>0</v>
      </c>
      <c r="AH74" s="41">
        <f>ROUND(AH73*$Q$11,2)</f>
        <v>0</v>
      </c>
      <c r="AI74" s="41">
        <f>ROUND(AI73*$Q$11,2)</f>
        <v>0</v>
      </c>
      <c r="AJ74" s="41"/>
      <c r="AK74" s="41"/>
      <c r="AL74" s="41"/>
      <c r="AM74" s="41"/>
      <c r="AN74" s="41"/>
      <c r="AO74" s="41"/>
      <c r="AP74" s="41"/>
      <c r="AQ74" s="41"/>
      <c r="AR74" s="41"/>
      <c r="AS74" s="41"/>
      <c r="AT74" s="41"/>
    </row>
    <row r="75" spans="1:46" ht="30" customHeight="1">
      <c r="B75" s="123"/>
      <c r="C75" s="124"/>
      <c r="D75" s="125"/>
      <c r="E75" s="126"/>
      <c r="F75" s="127"/>
      <c r="G75" s="128"/>
      <c r="H75" s="51" t="s">
        <v>50</v>
      </c>
      <c r="I75" s="52">
        <f>IFERROR(J75+K75,0)</f>
        <v>0</v>
      </c>
      <c r="J75" s="53">
        <f>IFERROR(AH75+AR73,0)</f>
        <v>0</v>
      </c>
      <c r="K75" s="53">
        <f>IFERROR(AI75,0)</f>
        <v>0</v>
      </c>
      <c r="L75" s="44" t="str">
        <f>IF(ISERROR(I75/I73),"-",I75/I73)</f>
        <v>-</v>
      </c>
      <c r="M75" s="30" t="s">
        <v>50</v>
      </c>
      <c r="N75" s="54">
        <f>SUM(O75:P75)</f>
        <v>0</v>
      </c>
      <c r="O75" s="45">
        <v>0</v>
      </c>
      <c r="P75" s="45">
        <v>0</v>
      </c>
      <c r="Q75" s="62"/>
      <c r="R75" s="44" t="str">
        <f>IF(ISERROR(N75/(N73-Q73)),"-",(N75/(N73-Q73)))</f>
        <v>-</v>
      </c>
      <c r="S75" s="51" t="s">
        <v>50</v>
      </c>
      <c r="T75" s="48"/>
      <c r="U75" s="49"/>
      <c r="V75" s="49"/>
      <c r="W75" s="50"/>
      <c r="X75" s="41">
        <f t="shared" si="0"/>
        <v>0</v>
      </c>
      <c r="Y75" s="41"/>
      <c r="Z75" s="41"/>
      <c r="AA75" s="41"/>
      <c r="AB75" s="41"/>
      <c r="AC75" s="41"/>
      <c r="AD75" s="41"/>
      <c r="AE75" s="41"/>
      <c r="AF75" s="41"/>
      <c r="AG75" s="41">
        <f t="shared" si="1"/>
        <v>0</v>
      </c>
      <c r="AH75" s="41">
        <f>ROUND(AH73*$Q$12,2)</f>
        <v>0</v>
      </c>
      <c r="AI75" s="41">
        <f>ROUND(AI73*$Q$12,2)</f>
        <v>0</v>
      </c>
      <c r="AJ75" s="41"/>
      <c r="AK75" s="41"/>
      <c r="AL75" s="41"/>
      <c r="AM75" s="41"/>
      <c r="AN75" s="41"/>
      <c r="AO75" s="41"/>
      <c r="AP75" s="41"/>
      <c r="AQ75" s="41"/>
      <c r="AR75" s="41"/>
      <c r="AS75" s="41"/>
      <c r="AT75" s="41"/>
    </row>
    <row r="76" spans="1:46" ht="65.25" customHeight="1">
      <c r="A76" s="66"/>
      <c r="B76" s="129" t="s">
        <v>31</v>
      </c>
      <c r="C76" s="129"/>
      <c r="D76" s="129"/>
      <c r="E76" s="129"/>
      <c r="F76" s="129"/>
      <c r="G76" s="129"/>
      <c r="H76" s="67" t="s">
        <v>51</v>
      </c>
      <c r="I76" s="68">
        <f>I31+I37+I40+I43+I46+I49+I52+I55+I58+I61+I34+I64+I67+I70+I73</f>
        <v>1359256.25</v>
      </c>
      <c r="J76" s="69">
        <f>J31+J37+J40+J43+J46+J49+J52+J55+J58+J61+J34+J64+J67+J70+J73</f>
        <v>1359256.25</v>
      </c>
      <c r="K76" s="69">
        <f>K31+K37+K40+K43+K46+K49+K52+K55+K58+K61+K34+K64+K67+K70+K73</f>
        <v>0</v>
      </c>
      <c r="L76" s="70">
        <f>IF(ISERROR((O76+P76)/I76),"-",(O76+P76)/I76)</f>
        <v>1</v>
      </c>
      <c r="M76" s="67" t="s">
        <v>52</v>
      </c>
      <c r="N76" s="68">
        <f>N61+N58+N55+N52+N49+N46+N43+N40+N37+N31+N34+N64+N67+N70+N73</f>
        <v>1599125</v>
      </c>
      <c r="O76" s="69">
        <f>O61+O58+O55+O52+O49+O46+O43+O40+O37+O31+O34+O64+O67+O70+O73</f>
        <v>1359256.25</v>
      </c>
      <c r="P76" s="69">
        <f>P61+P58+P55+P52+P49+P46+P43+P40+P37+P31+P34+P64+P67+P70+P73</f>
        <v>0</v>
      </c>
      <c r="Q76" s="69">
        <f>Q61+Q58+Q55+Q52+Q49+Q46+Q43+Q40+Q37+Q31+Q34+Q64+Q67+Q70+Q73</f>
        <v>239868.75</v>
      </c>
      <c r="R76" s="70"/>
      <c r="S76" s="67" t="s">
        <v>53</v>
      </c>
      <c r="T76" s="71"/>
      <c r="U76" s="72"/>
      <c r="V76" s="72"/>
      <c r="W76" s="73"/>
      <c r="X76" s="41"/>
      <c r="Y76" s="41">
        <f>SUM(Y31:Y75)</f>
        <v>0</v>
      </c>
      <c r="Z76" s="41">
        <f>SUM(Z32:Z75)</f>
        <v>0</v>
      </c>
      <c r="AA76" s="41"/>
      <c r="AB76" s="41"/>
      <c r="AC76" s="41">
        <f>SUM(AC31:AC75)</f>
        <v>0</v>
      </c>
      <c r="AD76" s="41"/>
      <c r="AE76" s="41"/>
      <c r="AF76" s="41"/>
      <c r="AG76" s="41">
        <f>AG31+AG37+AG40+AG43+AG46+AG49+AG52+AG55+AG58+AG61+AG34+AG64+AG67+AG70+AG73</f>
        <v>1359256.25</v>
      </c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>
        <f>SUM(AS37:AS75)</f>
        <v>0</v>
      </c>
      <c r="AT76" s="41">
        <f>SUM(AT31:AT75)</f>
        <v>0</v>
      </c>
    </row>
    <row r="77" spans="1:46" ht="65.25" customHeight="1">
      <c r="A77" s="66"/>
      <c r="B77" s="129"/>
      <c r="C77" s="129"/>
      <c r="D77" s="129"/>
      <c r="E77" s="129"/>
      <c r="F77" s="129"/>
      <c r="G77" s="129"/>
      <c r="H77" s="74" t="s">
        <v>48</v>
      </c>
      <c r="I77" s="68">
        <f>I32+I38+I41+I44+I47+I50+I53+I56+I59+I62+I35+I65+I71+I74+I68</f>
        <v>1359256.25</v>
      </c>
      <c r="J77" s="69">
        <f>J32+J38+J41+J44+J47+J50+J53+J56+J59+J62+J35+J65+J71+J74+J68</f>
        <v>1359256.25</v>
      </c>
      <c r="K77" s="69">
        <f>K32+K38+K41+K44+K47+K50+K53+K56+K59+K62+K35+K65+K71+K74+K68</f>
        <v>0</v>
      </c>
      <c r="L77" s="70">
        <f>IF(ISERROR(I77/I76),"-",I77/I76)</f>
        <v>1</v>
      </c>
      <c r="M77" s="74" t="s">
        <v>54</v>
      </c>
      <c r="N77" s="68">
        <f t="shared" ref="N77:P78" si="2">N32+N38+N41+N44+N47+N50+N53+N56+N59+N62+N35+N65+N68+N71+N74</f>
        <v>1359256.25</v>
      </c>
      <c r="O77" s="69">
        <f t="shared" si="2"/>
        <v>1359256.25</v>
      </c>
      <c r="P77" s="69">
        <f t="shared" si="2"/>
        <v>0</v>
      </c>
      <c r="Q77" s="75"/>
      <c r="R77" s="70">
        <f>IF(ISERROR(N77/(N76-Q76)),"-",(N77/(N76-Q76)))</f>
        <v>1</v>
      </c>
      <c r="S77" s="76" t="s">
        <v>55</v>
      </c>
      <c r="T77" s="71"/>
      <c r="U77" s="72"/>
      <c r="V77" s="72"/>
      <c r="W77" s="77"/>
      <c r="X77" s="41" t="b">
        <f>O77=J77</f>
        <v>1</v>
      </c>
      <c r="Y77" s="41" t="b">
        <f>P77=K77</f>
        <v>1</v>
      </c>
      <c r="Z77" s="41"/>
      <c r="AA77" s="41"/>
      <c r="AB77" s="41"/>
      <c r="AC77" s="41"/>
      <c r="AD77" s="41">
        <f>IF(ISERROR(N77/N76),"",N77/N76)</f>
        <v>0.85</v>
      </c>
      <c r="AE77" s="41"/>
      <c r="AF77" s="41"/>
      <c r="AG77" s="41">
        <f>AG32+AG38+AG41+AG44+AG47+AG50+AG53+AG56+AG59+AG62+AG35+AG65+AG71+AG74+AG68</f>
        <v>1359256.25</v>
      </c>
      <c r="AH77" s="41"/>
      <c r="AI77" s="41"/>
      <c r="AJ77" s="41"/>
      <c r="AK77" s="41">
        <f>H11-I77</f>
        <v>0</v>
      </c>
      <c r="AL77" s="41">
        <f>IF(ABS(H11-AG77)&gt;0.03,0,H11-AG77)</f>
        <v>0</v>
      </c>
      <c r="AM77" s="41"/>
      <c r="AN77" s="41"/>
      <c r="AO77" s="41"/>
      <c r="AP77" s="41"/>
      <c r="AQ77" s="41"/>
      <c r="AR77" s="41"/>
      <c r="AS77" s="41"/>
      <c r="AT77" s="41"/>
    </row>
    <row r="78" spans="1:46" ht="65.25" customHeight="1">
      <c r="A78" s="66"/>
      <c r="B78" s="129"/>
      <c r="C78" s="129"/>
      <c r="D78" s="129"/>
      <c r="E78" s="129"/>
      <c r="F78" s="129"/>
      <c r="G78" s="129"/>
      <c r="H78" s="78" t="s">
        <v>50</v>
      </c>
      <c r="I78" s="79">
        <f>I33+I39+I42+I45+I48+I51+I54+I57+I60+I63+I36+I66+I69+I72+I75</f>
        <v>0</v>
      </c>
      <c r="J78" s="80">
        <f>J33+J39+J42+J45+J48+J51+J54+J57+J60+J63+J36+J66+J69+J72+J75</f>
        <v>0</v>
      </c>
      <c r="K78" s="80">
        <f>K33+K39+K42+K45+K48+K51+K54+K57+K60+K63+K36+K66+K69+K72+K75</f>
        <v>0</v>
      </c>
      <c r="L78" s="81">
        <f>IF(ISERROR(I78/I76),"-",(I78/I76))</f>
        <v>0</v>
      </c>
      <c r="M78" s="78" t="s">
        <v>50</v>
      </c>
      <c r="N78" s="79">
        <f t="shared" si="2"/>
        <v>0</v>
      </c>
      <c r="O78" s="80">
        <f t="shared" si="2"/>
        <v>0</v>
      </c>
      <c r="P78" s="80">
        <f t="shared" si="2"/>
        <v>0</v>
      </c>
      <c r="Q78" s="82"/>
      <c r="R78" s="83">
        <f>IF(ISERROR(N78/(N76-Q76)),"-",(N78/(N76-Q76)))</f>
        <v>0</v>
      </c>
      <c r="S78" s="74" t="s">
        <v>56</v>
      </c>
      <c r="T78" s="84"/>
      <c r="U78" s="85"/>
      <c r="V78" s="85"/>
      <c r="W78" s="86"/>
      <c r="X78" s="41" t="b">
        <f>O78=J78</f>
        <v>1</v>
      </c>
      <c r="Y78" s="41" t="b">
        <f>P78=K78</f>
        <v>1</v>
      </c>
      <c r="Z78" s="41"/>
      <c r="AA78" s="41"/>
      <c r="AB78" s="41"/>
      <c r="AC78" s="41"/>
      <c r="AD78" s="41">
        <f>IF(ISERROR(N78/N76),"",N78/N76)</f>
        <v>0</v>
      </c>
      <c r="AE78" s="41"/>
      <c r="AF78" s="41"/>
      <c r="AG78" s="41">
        <f>AG33+AG39+AG42+AG45+AG48+AG51+AG54+AG57+AG60+AG63+AG36+AG66+AG69+AG72+AG75</f>
        <v>0</v>
      </c>
      <c r="AH78" s="41"/>
      <c r="AI78" s="41"/>
      <c r="AJ78" s="41"/>
      <c r="AK78" s="41">
        <f>H12-I78</f>
        <v>0</v>
      </c>
      <c r="AL78" s="41">
        <f>IF(ABS(H12-AG78)&gt;0.03,0,H12-AG78)</f>
        <v>0</v>
      </c>
      <c r="AM78" s="41"/>
      <c r="AN78" s="41"/>
      <c r="AO78" s="41"/>
      <c r="AP78" s="41"/>
      <c r="AQ78" s="41"/>
      <c r="AR78" s="41"/>
      <c r="AS78" s="41"/>
      <c r="AT78" s="41"/>
    </row>
    <row r="79" spans="1:46" ht="20.25" customHeight="1">
      <c r="C79" s="130" t="str">
        <f>IF(OR(Y76&gt;0,AND(I76=0,N76&gt;0)),"Uwaga. Przynajmniej w jednym okresie rozliczeniowym kwota rozliczona narastajaco przekroczy wartość przekazanych narastająco zaliczek (angażowanie środkow własnych).","")</f>
        <v/>
      </c>
      <c r="D79" s="130"/>
      <c r="E79" s="130"/>
      <c r="F79" s="130"/>
      <c r="G79" s="130"/>
      <c r="H79" s="130"/>
      <c r="I79" s="130"/>
      <c r="J79" s="130"/>
      <c r="K79" s="130"/>
      <c r="L79" s="130"/>
      <c r="M79" s="130"/>
      <c r="N79" s="130"/>
      <c r="O79" s="130"/>
      <c r="P79" s="130"/>
      <c r="Q79" s="130"/>
      <c r="R79" s="130"/>
      <c r="S79" s="130"/>
      <c r="T79" s="130"/>
      <c r="U79" s="130"/>
      <c r="V79" s="130"/>
      <c r="W79" s="130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  <c r="AT79" s="41"/>
    </row>
    <row r="80" spans="1:46" ht="12" customHeight="1">
      <c r="C80" s="130"/>
      <c r="D80" s="130"/>
      <c r="E80" s="130"/>
      <c r="F80" s="130"/>
      <c r="G80" s="130"/>
      <c r="H80" s="130"/>
      <c r="I80" s="130"/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  <c r="AT80" s="41"/>
    </row>
    <row r="81" spans="2:23" ht="15">
      <c r="C81" s="131" t="s">
        <v>57</v>
      </c>
      <c r="D81" s="131"/>
      <c r="E81" s="131"/>
      <c r="F81" s="131"/>
      <c r="G81" s="131"/>
      <c r="H81" s="131"/>
      <c r="I81" s="131"/>
      <c r="J81" s="131"/>
      <c r="K81" s="87"/>
      <c r="L81" s="11"/>
      <c r="M81" s="11"/>
      <c r="N81" s="11"/>
      <c r="O81" s="88"/>
      <c r="P81" s="87"/>
      <c r="Q81" s="87"/>
      <c r="R81" s="87"/>
      <c r="S81" s="11"/>
      <c r="T81" s="11"/>
      <c r="U81" s="11"/>
      <c r="V81" s="11"/>
      <c r="W81" s="11"/>
    </row>
    <row r="82" spans="2:23" ht="32.25" customHeight="1">
      <c r="C82" s="118"/>
      <c r="D82" s="118"/>
      <c r="E82" s="118"/>
      <c r="F82" s="118"/>
      <c r="G82" s="118"/>
      <c r="H82" s="119" t="s">
        <v>58</v>
      </c>
      <c r="I82" s="119"/>
      <c r="J82" s="119"/>
      <c r="K82" s="119"/>
      <c r="L82" s="120" t="s">
        <v>32</v>
      </c>
      <c r="M82" s="120"/>
      <c r="N82" s="120"/>
      <c r="O82" s="120"/>
      <c r="P82" s="120" t="s">
        <v>33</v>
      </c>
      <c r="Q82" s="120"/>
      <c r="R82" s="120"/>
      <c r="S82" s="120"/>
      <c r="T82" s="121" t="s">
        <v>35</v>
      </c>
      <c r="U82" s="121"/>
      <c r="V82" s="121"/>
    </row>
    <row r="83" spans="2:23" ht="15">
      <c r="C83" s="118">
        <v>1</v>
      </c>
      <c r="D83" s="118"/>
      <c r="E83" s="118"/>
      <c r="F83" s="118"/>
      <c r="G83" s="118"/>
      <c r="H83" s="122">
        <v>2</v>
      </c>
      <c r="I83" s="122"/>
      <c r="J83" s="122"/>
      <c r="K83" s="122"/>
      <c r="L83" s="122">
        <v>3</v>
      </c>
      <c r="M83" s="122"/>
      <c r="N83" s="122"/>
      <c r="O83" s="122"/>
      <c r="P83" s="122">
        <v>4</v>
      </c>
      <c r="Q83" s="122"/>
      <c r="R83" s="122"/>
      <c r="S83" s="122"/>
      <c r="T83" s="122">
        <v>5</v>
      </c>
      <c r="U83" s="122"/>
      <c r="V83" s="122"/>
    </row>
    <row r="84" spans="2:23" ht="30" customHeight="1">
      <c r="C84" s="108" t="s">
        <v>59</v>
      </c>
      <c r="D84" s="108"/>
      <c r="E84" s="108"/>
      <c r="F84" s="103" t="s">
        <v>60</v>
      </c>
      <c r="G84" s="103"/>
      <c r="H84" s="104">
        <f>SUM(L84:V84)</f>
        <v>0</v>
      </c>
      <c r="I84" s="104"/>
      <c r="J84" s="104"/>
      <c r="K84" s="104"/>
      <c r="L84" s="104">
        <f>SUM(L85:O86)</f>
        <v>0</v>
      </c>
      <c r="M84" s="104"/>
      <c r="N84" s="104"/>
      <c r="O84" s="104"/>
      <c r="P84" s="104">
        <f>SUM(P85:S86)</f>
        <v>0</v>
      </c>
      <c r="Q84" s="104"/>
      <c r="R84" s="104"/>
      <c r="S84" s="104"/>
      <c r="T84" s="116">
        <v>0</v>
      </c>
      <c r="U84" s="116"/>
      <c r="V84" s="116"/>
    </row>
    <row r="85" spans="2:23" ht="30" customHeight="1">
      <c r="C85" s="108"/>
      <c r="D85" s="108"/>
      <c r="E85" s="108"/>
      <c r="F85" s="117" t="s">
        <v>61</v>
      </c>
      <c r="G85" s="117"/>
      <c r="H85" s="110">
        <f>SUM(L85:S85)</f>
        <v>0</v>
      </c>
      <c r="I85" s="110"/>
      <c r="J85" s="110"/>
      <c r="K85" s="110"/>
      <c r="L85" s="115">
        <v>0</v>
      </c>
      <c r="M85" s="115"/>
      <c r="N85" s="115"/>
      <c r="O85" s="115"/>
      <c r="P85" s="115">
        <v>0</v>
      </c>
      <c r="Q85" s="115"/>
      <c r="R85" s="115"/>
      <c r="S85" s="115"/>
      <c r="T85" s="89"/>
      <c r="U85" s="90"/>
      <c r="V85" s="91"/>
    </row>
    <row r="86" spans="2:23" ht="30" customHeight="1">
      <c r="C86" s="108"/>
      <c r="D86" s="108"/>
      <c r="E86" s="108"/>
      <c r="F86" s="117" t="s">
        <v>50</v>
      </c>
      <c r="G86" s="117"/>
      <c r="H86" s="110">
        <f>SUM(L86:S86)</f>
        <v>0</v>
      </c>
      <c r="I86" s="110"/>
      <c r="J86" s="110"/>
      <c r="K86" s="110"/>
      <c r="L86" s="115">
        <v>0</v>
      </c>
      <c r="M86" s="115"/>
      <c r="N86" s="115"/>
      <c r="O86" s="115"/>
      <c r="P86" s="115">
        <v>0</v>
      </c>
      <c r="Q86" s="115"/>
      <c r="R86" s="115"/>
      <c r="S86" s="115"/>
      <c r="T86" s="112"/>
      <c r="U86" s="112"/>
      <c r="V86" s="112"/>
    </row>
    <row r="87" spans="2:23" ht="30" customHeight="1">
      <c r="C87" s="103" t="s">
        <v>62</v>
      </c>
      <c r="D87" s="103"/>
      <c r="E87" s="103"/>
      <c r="F87" s="113" t="s">
        <v>60</v>
      </c>
      <c r="G87" s="113"/>
      <c r="H87" s="104">
        <f>SUM(L87:V87)</f>
        <v>0</v>
      </c>
      <c r="I87" s="104"/>
      <c r="J87" s="104"/>
      <c r="K87" s="104"/>
      <c r="L87" s="104">
        <f>SUM(L88:O89)</f>
        <v>0</v>
      </c>
      <c r="M87" s="104"/>
      <c r="N87" s="104"/>
      <c r="O87" s="104"/>
      <c r="P87" s="104">
        <f>SUM(P88:S89)</f>
        <v>0</v>
      </c>
      <c r="Q87" s="104"/>
      <c r="R87" s="104"/>
      <c r="S87" s="104"/>
      <c r="T87" s="114">
        <v>0</v>
      </c>
      <c r="U87" s="114"/>
      <c r="V87" s="114"/>
    </row>
    <row r="88" spans="2:23" ht="30" customHeight="1">
      <c r="C88" s="103"/>
      <c r="D88" s="103"/>
      <c r="E88" s="103"/>
      <c r="F88" s="103" t="s">
        <v>61</v>
      </c>
      <c r="G88" s="103"/>
      <c r="H88" s="110">
        <f>SUM(L88:S88)</f>
        <v>0</v>
      </c>
      <c r="I88" s="110"/>
      <c r="J88" s="110"/>
      <c r="K88" s="110"/>
      <c r="L88" s="115">
        <v>0</v>
      </c>
      <c r="M88" s="115"/>
      <c r="N88" s="115"/>
      <c r="O88" s="115"/>
      <c r="P88" s="115">
        <v>0</v>
      </c>
      <c r="Q88" s="115"/>
      <c r="R88" s="115"/>
      <c r="S88" s="115"/>
      <c r="T88" s="89"/>
      <c r="U88" s="90"/>
      <c r="V88" s="91"/>
    </row>
    <row r="89" spans="2:23" ht="30" customHeight="1">
      <c r="C89" s="103"/>
      <c r="D89" s="103"/>
      <c r="E89" s="103"/>
      <c r="F89" s="103" t="s">
        <v>50</v>
      </c>
      <c r="G89" s="103"/>
      <c r="H89" s="110">
        <f>SUM(L89:S89)</f>
        <v>0</v>
      </c>
      <c r="I89" s="110"/>
      <c r="J89" s="110"/>
      <c r="K89" s="110"/>
      <c r="L89" s="115">
        <v>0</v>
      </c>
      <c r="M89" s="115"/>
      <c r="N89" s="115"/>
      <c r="O89" s="115"/>
      <c r="P89" s="115">
        <v>0</v>
      </c>
      <c r="Q89" s="115"/>
      <c r="R89" s="115"/>
      <c r="S89" s="115"/>
      <c r="T89" s="112"/>
      <c r="U89" s="112"/>
      <c r="V89" s="112"/>
    </row>
    <row r="90" spans="2:23" ht="30" customHeight="1">
      <c r="C90" s="108" t="s">
        <v>63</v>
      </c>
      <c r="D90" s="108"/>
      <c r="E90" s="108"/>
      <c r="F90" s="103" t="s">
        <v>60</v>
      </c>
      <c r="G90" s="103"/>
      <c r="H90" s="104">
        <f>SUM(L90:V90)</f>
        <v>1599125</v>
      </c>
      <c r="I90" s="104"/>
      <c r="J90" s="104"/>
      <c r="K90" s="104"/>
      <c r="L90" s="104">
        <f>SUM(L91:O92)</f>
        <v>1359256.25</v>
      </c>
      <c r="M90" s="104"/>
      <c r="N90" s="104"/>
      <c r="O90" s="104"/>
      <c r="P90" s="104">
        <f>SUM(P91:S92)</f>
        <v>0</v>
      </c>
      <c r="Q90" s="104"/>
      <c r="R90" s="104"/>
      <c r="S90" s="104"/>
      <c r="T90" s="109">
        <f>Q76-T84-T87</f>
        <v>239868.75</v>
      </c>
      <c r="U90" s="109"/>
      <c r="V90" s="109"/>
    </row>
    <row r="91" spans="2:23" ht="30" customHeight="1">
      <c r="C91" s="108"/>
      <c r="D91" s="108"/>
      <c r="E91" s="108"/>
      <c r="F91" s="103" t="s">
        <v>61</v>
      </c>
      <c r="G91" s="103"/>
      <c r="H91" s="110">
        <f>SUM(L91:S91)</f>
        <v>1359256.25</v>
      </c>
      <c r="I91" s="110"/>
      <c r="J91" s="110"/>
      <c r="K91" s="110"/>
      <c r="L91" s="111">
        <f>O77-L85-L88</f>
        <v>1359256.25</v>
      </c>
      <c r="M91" s="111"/>
      <c r="N91" s="111"/>
      <c r="O91" s="111"/>
      <c r="P91" s="111">
        <f>P77-P85-P88</f>
        <v>0</v>
      </c>
      <c r="Q91" s="111"/>
      <c r="R91" s="111"/>
      <c r="S91" s="111"/>
      <c r="T91" s="89"/>
      <c r="U91" s="90"/>
      <c r="V91" s="91"/>
    </row>
    <row r="92" spans="2:23" ht="30" customHeight="1">
      <c r="C92" s="108"/>
      <c r="D92" s="108"/>
      <c r="E92" s="108"/>
      <c r="F92" s="103" t="s">
        <v>50</v>
      </c>
      <c r="G92" s="103"/>
      <c r="H92" s="110">
        <f>SUM(L92:S92)</f>
        <v>0</v>
      </c>
      <c r="I92" s="110"/>
      <c r="J92" s="110"/>
      <c r="K92" s="110"/>
      <c r="L92" s="111">
        <f>O78-L86-L89</f>
        <v>0</v>
      </c>
      <c r="M92" s="111"/>
      <c r="N92" s="111"/>
      <c r="O92" s="111"/>
      <c r="P92" s="111">
        <f>P78-P86-P89</f>
        <v>0</v>
      </c>
      <c r="Q92" s="111"/>
      <c r="R92" s="111"/>
      <c r="S92" s="111"/>
      <c r="T92" s="112"/>
      <c r="U92" s="112"/>
      <c r="V92" s="112"/>
    </row>
    <row r="93" spans="2:23" ht="30" customHeight="1">
      <c r="C93" s="103" t="s">
        <v>64</v>
      </c>
      <c r="D93" s="103"/>
      <c r="E93" s="103"/>
      <c r="F93" s="103"/>
      <c r="G93" s="103"/>
      <c r="H93" s="104">
        <f>SUM(H84+H87+H90)</f>
        <v>1599125</v>
      </c>
      <c r="I93" s="104"/>
      <c r="J93" s="104"/>
      <c r="K93" s="104"/>
      <c r="L93" s="104">
        <f>L84+L87+L90</f>
        <v>1359256.25</v>
      </c>
      <c r="M93" s="104"/>
      <c r="N93" s="104"/>
      <c r="O93" s="104"/>
      <c r="P93" s="104">
        <f>SUM(P84+P87+P90)</f>
        <v>0</v>
      </c>
      <c r="Q93" s="104"/>
      <c r="R93" s="104"/>
      <c r="S93" s="104"/>
      <c r="T93" s="105">
        <f>SUM(T84+T87+T90)</f>
        <v>239868.75</v>
      </c>
      <c r="U93" s="105"/>
      <c r="V93" s="105"/>
    </row>
    <row r="94" spans="2:23" ht="44.25" customHeight="1">
      <c r="B94" s="7"/>
      <c r="C94" s="92"/>
      <c r="D94" s="92"/>
      <c r="E94" s="92"/>
      <c r="F94" s="92"/>
      <c r="G94" s="92"/>
      <c r="H94" s="7"/>
      <c r="I94" s="7"/>
      <c r="J94" s="7"/>
      <c r="K94" s="7"/>
      <c r="L94" s="93"/>
      <c r="M94" s="93"/>
      <c r="N94" s="93"/>
      <c r="O94" s="93"/>
      <c r="P94" s="93"/>
      <c r="Q94" s="93"/>
      <c r="R94" s="93"/>
      <c r="S94" s="93"/>
      <c r="T94" s="94"/>
      <c r="U94" s="94"/>
      <c r="V94" s="94"/>
    </row>
    <row r="95" spans="2:23" ht="15">
      <c r="C95" s="106" t="s">
        <v>65</v>
      </c>
      <c r="D95" s="106"/>
      <c r="E95" s="106"/>
      <c r="F95" s="106"/>
      <c r="G95" s="106"/>
    </row>
    <row r="96" spans="2:23">
      <c r="C96" s="107"/>
      <c r="D96" s="107"/>
      <c r="E96" s="107"/>
      <c r="F96" s="107"/>
      <c r="G96" s="107"/>
      <c r="H96" s="107"/>
      <c r="I96" s="107"/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</row>
    <row r="97" spans="3:23"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7"/>
      <c r="P97" s="95"/>
      <c r="Q97" s="95"/>
      <c r="R97" s="95"/>
      <c r="S97" s="95"/>
      <c r="T97" s="95"/>
      <c r="U97" s="95"/>
      <c r="V97" s="95"/>
      <c r="W97" s="95"/>
    </row>
    <row r="98" spans="3:23" ht="15">
      <c r="C98" s="106" t="s">
        <v>66</v>
      </c>
      <c r="D98" s="106"/>
      <c r="E98" s="106"/>
      <c r="F98" s="106"/>
      <c r="G98" s="106"/>
    </row>
    <row r="99" spans="3:23"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</row>
    <row r="109" spans="3:23">
      <c r="N109" s="96"/>
    </row>
  </sheetData>
  <sheetProtection password="D1F2" sheet="1" formatColumns="0" formatRows="0" insertHyperlinks="0" sort="0" autoFilter="0" pivotTables="0"/>
  <mergeCells count="221">
    <mergeCell ref="C1:W1"/>
    <mergeCell ref="C2:W2"/>
    <mergeCell ref="C3:W3"/>
    <mergeCell ref="C4:G4"/>
    <mergeCell ref="H4:W4"/>
    <mergeCell ref="C5:G5"/>
    <mergeCell ref="H5:W5"/>
    <mergeCell ref="C6:G6"/>
    <mergeCell ref="H6:W6"/>
    <mergeCell ref="C7:G7"/>
    <mergeCell ref="H7:W7"/>
    <mergeCell ref="C8:G8"/>
    <mergeCell ref="H8:W8"/>
    <mergeCell ref="C9:G9"/>
    <mergeCell ref="H9:W9"/>
    <mergeCell ref="C10:G10"/>
    <mergeCell ref="H10:W10"/>
    <mergeCell ref="C11:G11"/>
    <mergeCell ref="H11:P11"/>
    <mergeCell ref="R11:W11"/>
    <mergeCell ref="C12:G12"/>
    <mergeCell ref="H12:P12"/>
    <mergeCell ref="R12:W12"/>
    <mergeCell ref="C13:G13"/>
    <mergeCell ref="H13:P13"/>
    <mergeCell ref="R13:W13"/>
    <mergeCell ref="C14:G14"/>
    <mergeCell ref="H14:W14"/>
    <mergeCell ref="C15:G15"/>
    <mergeCell ref="H15:W15"/>
    <mergeCell ref="C16:G16"/>
    <mergeCell ref="H16:W16"/>
    <mergeCell ref="C17:G17"/>
    <mergeCell ref="H17:W17"/>
    <mergeCell ref="C18:G18"/>
    <mergeCell ref="H18:W18"/>
    <mergeCell ref="C19:G19"/>
    <mergeCell ref="H19:W19"/>
    <mergeCell ref="C20:G20"/>
    <mergeCell ref="H20:W20"/>
    <mergeCell ref="C21:E24"/>
    <mergeCell ref="F21:W25"/>
    <mergeCell ref="F26:G26"/>
    <mergeCell ref="H26:H30"/>
    <mergeCell ref="I26:L26"/>
    <mergeCell ref="M26:M30"/>
    <mergeCell ref="N26:R26"/>
    <mergeCell ref="S26:S30"/>
    <mergeCell ref="T26:W26"/>
    <mergeCell ref="C27:C29"/>
    <mergeCell ref="D27:D29"/>
    <mergeCell ref="E27:E29"/>
    <mergeCell ref="F27:F29"/>
    <mergeCell ref="G27:G29"/>
    <mergeCell ref="I27:I29"/>
    <mergeCell ref="J27:J29"/>
    <mergeCell ref="K27:K29"/>
    <mergeCell ref="N27:N29"/>
    <mergeCell ref="O27:O29"/>
    <mergeCell ref="P27:P29"/>
    <mergeCell ref="Q27:Q29"/>
    <mergeCell ref="T27:T29"/>
    <mergeCell ref="U27:U29"/>
    <mergeCell ref="V27:V29"/>
    <mergeCell ref="B31:B33"/>
    <mergeCell ref="C31:C33"/>
    <mergeCell ref="D31:D33"/>
    <mergeCell ref="E31:E33"/>
    <mergeCell ref="F31:F33"/>
    <mergeCell ref="G31:G33"/>
    <mergeCell ref="B34:B36"/>
    <mergeCell ref="C34:C36"/>
    <mergeCell ref="D34:D36"/>
    <mergeCell ref="E34:E36"/>
    <mergeCell ref="F34:F36"/>
    <mergeCell ref="G34:G36"/>
    <mergeCell ref="B37:B39"/>
    <mergeCell ref="C37:C39"/>
    <mergeCell ref="D37:D39"/>
    <mergeCell ref="E37:E39"/>
    <mergeCell ref="F37:F39"/>
    <mergeCell ref="G37:G39"/>
    <mergeCell ref="B40:B42"/>
    <mergeCell ref="C40:C42"/>
    <mergeCell ref="D40:D42"/>
    <mergeCell ref="E40:E42"/>
    <mergeCell ref="F40:F42"/>
    <mergeCell ref="G40:G42"/>
    <mergeCell ref="B43:B45"/>
    <mergeCell ref="C43:C45"/>
    <mergeCell ref="D43:D45"/>
    <mergeCell ref="E43:E45"/>
    <mergeCell ref="F43:F45"/>
    <mergeCell ref="G43:G45"/>
    <mergeCell ref="B46:B48"/>
    <mergeCell ref="C46:C48"/>
    <mergeCell ref="D46:D48"/>
    <mergeCell ref="E46:E48"/>
    <mergeCell ref="F46:F48"/>
    <mergeCell ref="G46:G48"/>
    <mergeCell ref="B49:B51"/>
    <mergeCell ref="C49:C51"/>
    <mergeCell ref="D49:D51"/>
    <mergeCell ref="E49:E51"/>
    <mergeCell ref="F49:F51"/>
    <mergeCell ref="G49:G51"/>
    <mergeCell ref="B52:B54"/>
    <mergeCell ref="C52:C54"/>
    <mergeCell ref="D52:D54"/>
    <mergeCell ref="E52:E54"/>
    <mergeCell ref="F52:F54"/>
    <mergeCell ref="G52:G54"/>
    <mergeCell ref="B55:B57"/>
    <mergeCell ref="C55:C57"/>
    <mergeCell ref="D55:D57"/>
    <mergeCell ref="E55:E57"/>
    <mergeCell ref="F55:F57"/>
    <mergeCell ref="G55:G57"/>
    <mergeCell ref="B58:B60"/>
    <mergeCell ref="C58:C60"/>
    <mergeCell ref="D58:D60"/>
    <mergeCell ref="E58:E60"/>
    <mergeCell ref="F58:F60"/>
    <mergeCell ref="G58:G60"/>
    <mergeCell ref="B61:B63"/>
    <mergeCell ref="C61:C63"/>
    <mergeCell ref="D61:D63"/>
    <mergeCell ref="E61:E63"/>
    <mergeCell ref="F61:F63"/>
    <mergeCell ref="G61:G63"/>
    <mergeCell ref="B64:B66"/>
    <mergeCell ref="C64:C66"/>
    <mergeCell ref="D64:D66"/>
    <mergeCell ref="E64:E66"/>
    <mergeCell ref="F64:F66"/>
    <mergeCell ref="G64:G66"/>
    <mergeCell ref="B67:B69"/>
    <mergeCell ref="C67:C69"/>
    <mergeCell ref="D67:D69"/>
    <mergeCell ref="E67:E69"/>
    <mergeCell ref="F67:F69"/>
    <mergeCell ref="G67:G69"/>
    <mergeCell ref="B70:B72"/>
    <mergeCell ref="C70:C72"/>
    <mergeCell ref="D70:D72"/>
    <mergeCell ref="E70:E72"/>
    <mergeCell ref="F70:F72"/>
    <mergeCell ref="G70:G72"/>
    <mergeCell ref="B73:B75"/>
    <mergeCell ref="C73:C75"/>
    <mergeCell ref="D73:D75"/>
    <mergeCell ref="E73:E75"/>
    <mergeCell ref="F73:F75"/>
    <mergeCell ref="G73:G75"/>
    <mergeCell ref="B76:G78"/>
    <mergeCell ref="C79:W80"/>
    <mergeCell ref="C81:J81"/>
    <mergeCell ref="C82:G82"/>
    <mergeCell ref="H82:K82"/>
    <mergeCell ref="L82:O82"/>
    <mergeCell ref="P82:S82"/>
    <mergeCell ref="T82:V82"/>
    <mergeCell ref="C83:G83"/>
    <mergeCell ref="H83:K83"/>
    <mergeCell ref="L83:O83"/>
    <mergeCell ref="P83:S83"/>
    <mergeCell ref="T83:V83"/>
    <mergeCell ref="C84:E86"/>
    <mergeCell ref="F84:G84"/>
    <mergeCell ref="H84:K84"/>
    <mergeCell ref="L84:O84"/>
    <mergeCell ref="P84:S84"/>
    <mergeCell ref="T84:V84"/>
    <mergeCell ref="F85:G85"/>
    <mergeCell ref="H85:K85"/>
    <mergeCell ref="L85:O85"/>
    <mergeCell ref="P85:S85"/>
    <mergeCell ref="F86:G86"/>
    <mergeCell ref="H86:K86"/>
    <mergeCell ref="L86:O86"/>
    <mergeCell ref="P86:S86"/>
    <mergeCell ref="T86:V86"/>
    <mergeCell ref="C87:E89"/>
    <mergeCell ref="F87:G87"/>
    <mergeCell ref="H87:K87"/>
    <mergeCell ref="L87:O87"/>
    <mergeCell ref="P87:S87"/>
    <mergeCell ref="T87:V87"/>
    <mergeCell ref="F88:G88"/>
    <mergeCell ref="H88:K88"/>
    <mergeCell ref="L88:O88"/>
    <mergeCell ref="P88:S88"/>
    <mergeCell ref="F89:G89"/>
    <mergeCell ref="H89:K89"/>
    <mergeCell ref="L89:O89"/>
    <mergeCell ref="P89:S89"/>
    <mergeCell ref="T89:V89"/>
    <mergeCell ref="C90:E92"/>
    <mergeCell ref="F90:G90"/>
    <mergeCell ref="H90:K90"/>
    <mergeCell ref="L90:O90"/>
    <mergeCell ref="P90:S90"/>
    <mergeCell ref="T90:V90"/>
    <mergeCell ref="F91:G91"/>
    <mergeCell ref="H91:K91"/>
    <mergeCell ref="L91:O91"/>
    <mergeCell ref="P91:S91"/>
    <mergeCell ref="F92:G92"/>
    <mergeCell ref="H92:K92"/>
    <mergeCell ref="L92:O92"/>
    <mergeCell ref="P92:S92"/>
    <mergeCell ref="T92:V92"/>
    <mergeCell ref="C93:G93"/>
    <mergeCell ref="H93:K93"/>
    <mergeCell ref="L93:O93"/>
    <mergeCell ref="P93:S93"/>
    <mergeCell ref="T93:V93"/>
    <mergeCell ref="C95:G95"/>
    <mergeCell ref="C96:W96"/>
    <mergeCell ref="C98:G98"/>
    <mergeCell ref="C99:W99"/>
  </mergeCells>
  <conditionalFormatting sqref="I76">
    <cfRule type="cellIs" dxfId="28" priority="2" operator="notEqual">
      <formula>$H$9</formula>
    </cfRule>
  </conditionalFormatting>
  <conditionalFormatting sqref="N76">
    <cfRule type="cellIs" dxfId="27" priority="3" operator="notEqual">
      <formula>$H$14</formula>
    </cfRule>
  </conditionalFormatting>
  <conditionalFormatting sqref="Q76">
    <cfRule type="cellIs" dxfId="26" priority="4" operator="notEqual">
      <formula>$H$13</formula>
    </cfRule>
  </conditionalFormatting>
  <conditionalFormatting sqref="I77">
    <cfRule type="expression" dxfId="25" priority="5">
      <formula>$I$77&lt;&gt;$H$11</formula>
    </cfRule>
  </conditionalFormatting>
  <conditionalFormatting sqref="N77">
    <cfRule type="expression" dxfId="24" priority="6">
      <formula>$N$77&lt;&gt;$H$11</formula>
    </cfRule>
  </conditionalFormatting>
  <conditionalFormatting sqref="J76">
    <cfRule type="expression" dxfId="23" priority="7">
      <formula>$J$76&lt;&gt;$H$9-$H$10</formula>
    </cfRule>
  </conditionalFormatting>
  <conditionalFormatting sqref="K76">
    <cfRule type="expression" dxfId="22" priority="8">
      <formula>$K$76&lt;&gt;$H$10</formula>
    </cfRule>
  </conditionalFormatting>
  <conditionalFormatting sqref="O76">
    <cfRule type="expression" dxfId="21" priority="9">
      <formula>$O$76&lt;&gt;$H$9-$H$10</formula>
    </cfRule>
  </conditionalFormatting>
  <conditionalFormatting sqref="P76">
    <cfRule type="expression" dxfId="20" priority="10">
      <formula>$P76&lt;&gt;$H$10</formula>
    </cfRule>
  </conditionalFormatting>
  <conditionalFormatting sqref="H10:W10">
    <cfRule type="expression" dxfId="19" priority="11">
      <formula>$H$10&gt;$H$9</formula>
    </cfRule>
  </conditionalFormatting>
  <conditionalFormatting sqref="I78">
    <cfRule type="expression" dxfId="18" priority="12">
      <formula>$I$78&lt;&gt;$H$12</formula>
    </cfRule>
  </conditionalFormatting>
  <conditionalFormatting sqref="N78">
    <cfRule type="expression" dxfId="17" priority="13">
      <formula>$N$78&lt;&gt;$H$12</formula>
    </cfRule>
  </conditionalFormatting>
  <conditionalFormatting sqref="C31:C75">
    <cfRule type="expression" dxfId="16" priority="14">
      <formula>G31=0</formula>
    </cfRule>
  </conditionalFormatting>
  <conditionalFormatting sqref="D31:D75">
    <cfRule type="expression" dxfId="15" priority="15">
      <formula>G31=0</formula>
    </cfRule>
  </conditionalFormatting>
  <conditionalFormatting sqref="E31:E75">
    <cfRule type="expression" dxfId="14" priority="16">
      <formula>G31=0</formula>
    </cfRule>
  </conditionalFormatting>
  <conditionalFormatting sqref="F34:F36">
    <cfRule type="expression" dxfId="13" priority="17">
      <formula>$G$31=$H$16</formula>
    </cfRule>
  </conditionalFormatting>
  <conditionalFormatting sqref="F37:F39">
    <cfRule type="expression" dxfId="12" priority="18">
      <formula>$G$34=$H$16</formula>
    </cfRule>
  </conditionalFormatting>
  <conditionalFormatting sqref="L37 L40 L43 L46 L49 L52 L55 L58 L61 L64 L67 L70 L73">
    <cfRule type="expression" dxfId="11" priority="19">
      <formula>$Z37=1</formula>
    </cfRule>
  </conditionalFormatting>
  <conditionalFormatting sqref="F34:F75">
    <cfRule type="expression" dxfId="10" priority="20">
      <formula>$G31&lt;&gt;$H$16</formula>
    </cfRule>
    <cfRule type="expression" dxfId="9" priority="21">
      <formula>G31=$H$16</formula>
    </cfRule>
  </conditionalFormatting>
  <conditionalFormatting sqref="F37:F75">
    <cfRule type="expression" dxfId="8" priority="22">
      <formula>$AS37&gt;0</formula>
    </cfRule>
  </conditionalFormatting>
  <conditionalFormatting sqref="C1:W1">
    <cfRule type="expression" dxfId="7" priority="23">
      <formula>$C$1="HARMONOGRAM NIE JEST GOTOWY DO ZŁOŻENIA - UZUPEŁNIJ WYMAGANE DANE LUB POPRAW BŁĘDY. PAMIĘTAJ, ABY W PIERWSZEJ KOLEJNOŚCI POPRAWNIE WYPEŁNIĆ METRYCZKĘ."</formula>
    </cfRule>
  </conditionalFormatting>
  <conditionalFormatting sqref="I31 I73 I37 I40 I43 I46 I49 I52 I55 I58 I61 I64 I67 I70 I34">
    <cfRule type="expression" dxfId="6" priority="24">
      <formula>$AT31=1</formula>
    </cfRule>
  </conditionalFormatting>
  <conditionalFormatting sqref="O77">
    <cfRule type="expression" dxfId="5" priority="25">
      <formula>$X$77=0</formula>
    </cfRule>
  </conditionalFormatting>
  <conditionalFormatting sqref="P77">
    <cfRule type="expression" dxfId="4" priority="26">
      <formula>$Y$77=0</formula>
    </cfRule>
  </conditionalFormatting>
  <conditionalFormatting sqref="O78">
    <cfRule type="expression" dxfId="3" priority="27">
      <formula>$X$78=0</formula>
    </cfRule>
  </conditionalFormatting>
  <conditionalFormatting sqref="P78">
    <cfRule type="expression" dxfId="2" priority="28">
      <formula>$Y$78=0</formula>
    </cfRule>
  </conditionalFormatting>
  <conditionalFormatting sqref="L31">
    <cfRule type="expression" dxfId="1" priority="29">
      <formula>$Z34=1</formula>
    </cfRule>
  </conditionalFormatting>
  <conditionalFormatting sqref="L34">
    <cfRule type="expression" dxfId="0" priority="30">
      <formula>#REF!=1</formula>
    </cfRule>
  </conditionalFormatting>
  <dataValidations count="14">
    <dataValidation type="date" showInputMessage="1" showErrorMessage="1" errorTitle="Błędna data." error="Wprowadzone wartości nie są datą lub jest spoza zakresu od 2014-01-01 do 2023-12-31 lub nie spełnia kryteria formatu RRRR-MM-DD." sqref="H15:W16" xr:uid="{00000000-0002-0000-0000-000000000000}">
      <formula1>41640</formula1>
      <formula2>45291</formula2>
    </dataValidation>
    <dataValidation type="custom" allowBlank="1" showInputMessage="1" showErrorMessage="1" errorTitle="Błędna wartość" error="Wprowadż wartość dofinansowania do maksymalnie dwóch miejsc po przecinku." sqref="H9:W9" xr:uid="{00000000-0002-0000-0000-000001000000}">
      <formula1>H9=ROUND(H9,2)</formula1>
      <formula2>0</formula2>
    </dataValidation>
    <dataValidation type="custom" allowBlank="1" showInputMessage="1" showErrorMessage="1" errorTitle="Błędna wartość." error="Wprowadż wartość dofinansowania do maksymalnie dwóch miejsc po przecinku." sqref="AH31 AH34 AH37 AH40 AH43 AH46 AH49 AH52 AH55 AH58 AH61 O62:O63 AH64 AH67 AH70 AH73" xr:uid="{00000000-0002-0000-0000-000002000000}">
      <formula1>#REF!=ROUND(#REF!,2)</formula1>
      <formula2>0</formula2>
    </dataValidation>
    <dataValidation type="custom" allowBlank="1" showInputMessage="1" showErrorMessage="1" errorTitle="Błędna wartość." error="Wprowadż wartość dofinansowania do maksymalnie dwóch miejsc po przecinku._x000a_" sqref="AI31 AI34 AI37 AI40 AI43 AI46 AI49 AI52 AI55 AI58 AI61 AI64 AI67 AI70 AI73" xr:uid="{00000000-0002-0000-0000-000003000000}">
      <formula1>AI58=ROUND(AI58,2)</formula1>
      <formula2>0</formula2>
    </dataValidation>
    <dataValidation type="textLength" allowBlank="1" showInputMessage="1" showErrorMessage="1" errorTitle="Błędny numer umowy/wniosku o dof" error="Wprowadzono niepoprawny numer umowy o dofinansowanie lub  wniosku o dofinansowanie w formacie UDA-RPSL.00.00.00-24-0000/00-000 lub WND-RPSL.00.00.00-24-0000/00-000." sqref="H8:W8" xr:uid="{00000000-0002-0000-0000-000004000000}">
      <formula1>27</formula1>
      <formula2>32</formula2>
    </dataValidation>
    <dataValidation type="custom" showInputMessage="1" showErrorMessage="1" errorTitle="Błędna wartość." error="Wprowadż wartość dofinansowania do maksymalnie dwóch miejsc po przecinku." sqref="H10:W10 H11:P13" xr:uid="{00000000-0002-0000-0000-000005000000}">
      <formula1>AND(H10=ROUND(H10,2),H10&gt;=0)</formula1>
      <formula2>0</formula2>
    </dataValidation>
    <dataValidation type="custom" allowBlank="1" showInputMessage="1" showErrorMessage="1" errorTitle="Błędna wartość." error="Wprowadż wartość dofinansowania do maksymalnie dwóch miejsc po przecinku." sqref="J31 O32:O33 J34 O35:O36 J37 O38:O39 J40 O41:O42 J43 O44:O45 J46 O47:O48 J49 O50:O51 J52 O53:O54 J55 O56:O57 J58 O59:O60 J61 J64 O65:O66 J67 O68:O69 J70 O71:O72 J73 O74:O75" xr:uid="{00000000-0002-0000-0000-000006000000}">
      <formula1>AND(O74=ROUND(O74,2),O74&gt;=0)</formula1>
      <formula2>0</formula2>
    </dataValidation>
    <dataValidation type="custom" allowBlank="1" showInputMessage="1" showErrorMessage="1" errorTitle="Błędna wartość." error="Wprowadż wartość dofinansowania do maksymalnie dwóch miejsc po przecinku._x000a_" sqref="Q31 Q34 Q37 Q40 Q43 Q46 Q49 Q52 Q55 Q58 Q61 Q64 Q67 Q70 Q73" xr:uid="{00000000-0002-0000-0000-000007000000}">
      <formula1>AND(Q31=ROUND(Q31,2),Q31&gt;=0)</formula1>
      <formula2>0</formula2>
    </dataValidation>
    <dataValidation type="list" allowBlank="1" showInputMessage="1" showErrorMessage="1" sqref="H5:W5" xr:uid="{00000000-0002-0000-0000-000008000000}">
      <formula1>"jednostka sektora finansów publicznych,inne"</formula1>
      <formula2>0</formula2>
    </dataValidation>
    <dataValidation type="decimal" allowBlank="1" showInputMessage="1" showErrorMessage="1" sqref="P91:S91 L92:S92" xr:uid="{00000000-0002-0000-0000-000009000000}">
      <formula1>0</formula1>
      <formula2>99999999999.99</formula2>
    </dataValidation>
    <dataValidation type="custom" allowBlank="1" showInputMessage="1" showErrorMessage="1" sqref="T84:W84 L85:S86 T87:W87 L88:S89 T90:W90 L91:O91" xr:uid="{00000000-0002-0000-0000-00000A000000}">
      <formula1>AND(AJ81=ROUND(AJ81,2),AJ81&gt;=0)</formula1>
      <formula2>0</formula2>
    </dataValidation>
    <dataValidation type="date" allowBlank="1" showInputMessage="1" showErrorMessage="1" error="Wprowadzona wartość nie jest datą w formacie RRRR-MM-DD lub data poza okresem realizacji projektu." sqref="G31:G75" xr:uid="{00000000-0002-0000-0000-00000B000000}">
      <formula1>F31</formula1>
      <formula2>$H$16</formula2>
    </dataValidation>
    <dataValidation type="list" allowBlank="1" showInputMessage="1" showErrorMessage="1" sqref="H6:W6" xr:uid="{00000000-0002-0000-0000-00000C000000}">
      <formula1>"tak,nie"</formula1>
      <formula2>0</formula2>
    </dataValidation>
    <dataValidation type="custom" allowBlank="1" showInputMessage="1" showErrorMessage="1" errorTitle="Błędna wartość." error="Wprowadż wartość dofinansowania do maksymalnie dwóch miejsc po przecinku.Tylko jednostki sektora finansów publicznych mogą wnioskować o wydatki majątkowe i je rozliczać." sqref="K31 K34 K37 K40 K43 K46 K49 K52 K55 K58 K61 K64 K67 K70 K73 P32:P33 P35:P36 P38:P39 P41:P42 P44:P45 P47:P48 P50:P51 P53:P54 P56:P57 P59:P60 P62:P63 P65:P66 P68:P69 P71:P72 P74:P75" xr:uid="{00000000-0002-0000-0000-00000D000000}">
      <formula1>AND(K31=ROUND(K31,2),K31&gt;=0,$H$5="jednostka sektora finansów publicznych")</formula1>
      <formula2>0</formula2>
    </dataValidation>
  </dataValidations>
  <pageMargins left="0.23611111111111099" right="0.23611111111111099" top="0.74791666666666701" bottom="0.74791666666666701" header="0.51180555555555496" footer="0.51180555555555496"/>
  <pageSetup paperSize="9" scale="50" firstPageNumber="0" orientation="landscape" horizontalDpi="300" verticalDpi="300"/>
  <rowBreaks count="1" manualBreakCount="1">
    <brk id="33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27"/>
  <sheetViews>
    <sheetView topLeftCell="A152" zoomScale="85" zoomScaleNormal="85" workbookViewId="0">
      <selection activeCell="A191" sqref="A191"/>
    </sheetView>
  </sheetViews>
  <sheetFormatPr defaultColWidth="8.625" defaultRowHeight="14.25"/>
  <cols>
    <col min="1" max="1" width="37.25" customWidth="1"/>
    <col min="3" max="3" width="11.75" customWidth="1"/>
    <col min="13" max="13" width="121.25" customWidth="1"/>
  </cols>
  <sheetData>
    <row r="1" spans="1:18">
      <c r="A1" s="41" t="s">
        <v>67</v>
      </c>
      <c r="B1" s="41" t="s">
        <v>68</v>
      </c>
      <c r="C1" s="41" t="s">
        <v>69</v>
      </c>
      <c r="D1" s="41"/>
      <c r="E1" s="41"/>
      <c r="F1" s="41"/>
      <c r="G1" s="41"/>
      <c r="H1" s="41"/>
      <c r="I1" s="41"/>
      <c r="J1" s="41"/>
      <c r="K1" s="41"/>
      <c r="L1" s="41"/>
      <c r="M1" s="41" t="s">
        <v>70</v>
      </c>
      <c r="N1" s="41"/>
      <c r="O1" s="41"/>
      <c r="P1" s="41"/>
      <c r="Q1" s="41"/>
      <c r="R1" s="41"/>
    </row>
    <row r="2" spans="1:18">
      <c r="A2" s="41"/>
      <c r="B2" s="41" t="s">
        <v>71</v>
      </c>
      <c r="C2" s="97" t="s">
        <v>72</v>
      </c>
      <c r="D2" s="41"/>
      <c r="E2" s="41"/>
      <c r="F2" s="41"/>
      <c r="G2" s="41"/>
      <c r="H2" s="41"/>
      <c r="I2" s="41"/>
      <c r="J2" s="41"/>
      <c r="K2" s="41"/>
      <c r="L2" s="41"/>
      <c r="M2" s="41" t="str">
        <f>IF(Harmonogram!H10&gt;Harmonogram!H9,"Wartość wydatków majątkowych nie może przekraczać wartości dofinansowania.  ","")</f>
        <v/>
      </c>
      <c r="N2" s="41">
        <f t="shared" ref="N2:N21" si="0">IF(M2="",0,1)</f>
        <v>0</v>
      </c>
      <c r="O2" s="41">
        <f>N2</f>
        <v>0</v>
      </c>
      <c r="P2" s="41" t="s">
        <v>73</v>
      </c>
      <c r="Q2" s="41" t="s">
        <v>74</v>
      </c>
      <c r="R2" s="41" t="str">
        <f t="shared" ref="R2:R21" si="1">IF(N2=0,"",CONCATENATE(P2,O2,Q2," ",M2))</f>
        <v/>
      </c>
    </row>
    <row r="3" spans="1:18">
      <c r="A3" s="41"/>
      <c r="B3" s="41" t="s">
        <v>75</v>
      </c>
      <c r="C3" s="97" t="s">
        <v>76</v>
      </c>
      <c r="D3" s="41"/>
      <c r="E3" s="41"/>
      <c r="F3" s="41"/>
      <c r="G3" s="41"/>
      <c r="H3" s="41"/>
      <c r="I3" s="41"/>
      <c r="J3" s="41"/>
      <c r="K3" s="41"/>
      <c r="L3" s="41"/>
      <c r="M3" s="41" t="str">
        <f>IF(Harmonogram!I76&lt;&gt;Harmonogram!H9,"Wartość ogółem planowanej kwoty zaliczek musi równać się wartości dofinansowania z części informacyjnej projektu.  ","")</f>
        <v/>
      </c>
      <c r="N3" s="41">
        <f t="shared" si="0"/>
        <v>0</v>
      </c>
      <c r="O3" s="41">
        <f t="shared" ref="O3:O21" si="2">O2+N3</f>
        <v>0</v>
      </c>
      <c r="P3" s="41" t="s">
        <v>73</v>
      </c>
      <c r="Q3" s="41" t="s">
        <v>74</v>
      </c>
      <c r="R3" s="41" t="str">
        <f t="shared" si="1"/>
        <v/>
      </c>
    </row>
    <row r="4" spans="1:18">
      <c r="A4" s="41"/>
      <c r="B4" s="41" t="s">
        <v>77</v>
      </c>
      <c r="C4" s="97" t="s">
        <v>78</v>
      </c>
      <c r="D4" s="41"/>
      <c r="E4" s="41"/>
      <c r="F4" s="41"/>
      <c r="G4" s="41"/>
      <c r="H4" s="41"/>
      <c r="I4" s="41"/>
      <c r="J4" s="41"/>
      <c r="K4" s="41"/>
      <c r="L4" s="41"/>
      <c r="M4" s="41" t="str">
        <f>IF(Harmonogram!N76&lt;&gt;Harmonogram!$H$14,"Wartość ogółem kwoty do rozliczenia musi równać się wartości projektu z części informacyjnej projektu.  ","")</f>
        <v/>
      </c>
      <c r="N4" s="41">
        <f t="shared" si="0"/>
        <v>0</v>
      </c>
      <c r="O4" s="41">
        <f t="shared" si="2"/>
        <v>0</v>
      </c>
      <c r="P4" s="41" t="s">
        <v>73</v>
      </c>
      <c r="Q4" s="41" t="s">
        <v>74</v>
      </c>
      <c r="R4" s="41" t="str">
        <f t="shared" si="1"/>
        <v/>
      </c>
    </row>
    <row r="5" spans="1:18">
      <c r="A5" s="41"/>
      <c r="B5" s="41" t="s">
        <v>79</v>
      </c>
      <c r="C5" s="97" t="s">
        <v>80</v>
      </c>
      <c r="D5" s="41"/>
      <c r="E5" s="41"/>
      <c r="F5" s="41"/>
      <c r="G5" s="41"/>
      <c r="H5" s="41"/>
      <c r="I5" s="41"/>
      <c r="J5" s="41"/>
      <c r="K5" s="41"/>
      <c r="L5" s="41"/>
      <c r="M5" s="41" t="str">
        <f>IF(Harmonogram!$Q$76&lt;&gt;Harmonogram!H13,"Wartość ogółem kwoty wkładu własnego musi równać się wartości wkładu własnego z części informacyjnej projektu.  ","")</f>
        <v/>
      </c>
      <c r="N5" s="41">
        <f t="shared" si="0"/>
        <v>0</v>
      </c>
      <c r="O5" s="41">
        <f t="shared" si="2"/>
        <v>0</v>
      </c>
      <c r="P5" s="41" t="s">
        <v>73</v>
      </c>
      <c r="Q5" s="41" t="s">
        <v>74</v>
      </c>
      <c r="R5" s="41" t="str">
        <f t="shared" si="1"/>
        <v/>
      </c>
    </row>
    <row r="6" spans="1:18">
      <c r="A6" s="41"/>
      <c r="B6" s="41"/>
      <c r="C6" s="97" t="s">
        <v>81</v>
      </c>
      <c r="D6" s="41"/>
      <c r="E6" s="41"/>
      <c r="F6" s="41"/>
      <c r="G6" s="41"/>
      <c r="H6" s="41"/>
      <c r="I6" s="41"/>
      <c r="J6" s="41"/>
      <c r="K6" s="41"/>
      <c r="L6" s="41"/>
      <c r="M6" s="41" t="str">
        <f>IF(Harmonogram!I77&lt;&gt;Harmonogram!$H$11,"Wartość ogółem EFS/EFRR musi równać się dofinansowaniu EFS/EFRR z części informacyjnej projektu.  ","")</f>
        <v/>
      </c>
      <c r="N6" s="41">
        <f t="shared" si="0"/>
        <v>0</v>
      </c>
      <c r="O6" s="41">
        <f t="shared" si="2"/>
        <v>0</v>
      </c>
      <c r="P6" s="41" t="s">
        <v>73</v>
      </c>
      <c r="Q6" s="41" t="s">
        <v>74</v>
      </c>
      <c r="R6" s="41" t="str">
        <f t="shared" si="1"/>
        <v/>
      </c>
    </row>
    <row r="7" spans="1:18">
      <c r="A7" s="41"/>
      <c r="B7" s="41"/>
      <c r="C7" s="97" t="s">
        <v>82</v>
      </c>
      <c r="D7" s="41"/>
      <c r="E7" s="41"/>
      <c r="F7" s="41"/>
      <c r="G7" s="41"/>
      <c r="H7" s="41"/>
      <c r="I7" s="41"/>
      <c r="J7" s="41"/>
      <c r="K7" s="41"/>
      <c r="L7" s="41"/>
      <c r="M7" s="41" t="str">
        <f>IF(Harmonogram!I78&lt;&gt;Harmonogram!$H$12,"Wartość ogółem budżetu państwa musi równać się jego wartości z części informacyjnej projektu.  ","")</f>
        <v/>
      </c>
      <c r="N7" s="41">
        <f t="shared" si="0"/>
        <v>0</v>
      </c>
      <c r="O7" s="41">
        <f t="shared" si="2"/>
        <v>0</v>
      </c>
      <c r="P7" s="41" t="s">
        <v>73</v>
      </c>
      <c r="Q7" s="41" t="s">
        <v>74</v>
      </c>
      <c r="R7" s="41" t="str">
        <f t="shared" si="1"/>
        <v/>
      </c>
    </row>
    <row r="8" spans="1:18">
      <c r="A8" s="41"/>
      <c r="B8" s="41"/>
      <c r="C8" s="97" t="s">
        <v>83</v>
      </c>
      <c r="D8" s="41"/>
      <c r="E8" s="41"/>
      <c r="F8" s="41"/>
      <c r="G8" s="41"/>
      <c r="H8" s="41"/>
      <c r="I8" s="41"/>
      <c r="J8" s="41"/>
      <c r="K8" s="41"/>
      <c r="L8" s="41"/>
      <c r="M8" s="41" t="str">
        <f>IF(Harmonogram!N77&lt;&gt;Harmonogram!$H$11,"Wartość ogółem EFS musi równać się dofinansowaniu EFS/EFRR  z części informacyjnej projektu.  ","")</f>
        <v/>
      </c>
      <c r="N8" s="41">
        <f t="shared" si="0"/>
        <v>0</v>
      </c>
      <c r="O8" s="41">
        <f t="shared" si="2"/>
        <v>0</v>
      </c>
      <c r="P8" s="41" t="s">
        <v>73</v>
      </c>
      <c r="Q8" s="41" t="s">
        <v>74</v>
      </c>
      <c r="R8" s="41" t="str">
        <f t="shared" si="1"/>
        <v/>
      </c>
    </row>
    <row r="9" spans="1:18">
      <c r="A9" s="41"/>
      <c r="B9" s="41"/>
      <c r="C9" s="97" t="s">
        <v>84</v>
      </c>
      <c r="D9" s="41"/>
      <c r="E9" s="41"/>
      <c r="F9" s="41"/>
      <c r="G9" s="41"/>
      <c r="H9" s="41"/>
      <c r="I9" s="41"/>
      <c r="J9" s="41"/>
      <c r="K9" s="41"/>
      <c r="L9" s="41"/>
      <c r="M9" s="41" t="str">
        <f>IF(Harmonogram!N78&lt;&gt;Harmonogram!$H$12,"Wartość ogółem budżetu państwa musi równać się  jego wartości z części informacyjnej projektu.  ","")</f>
        <v/>
      </c>
      <c r="N9" s="41">
        <f t="shared" si="0"/>
        <v>0</v>
      </c>
      <c r="O9" s="41">
        <f t="shared" si="2"/>
        <v>0</v>
      </c>
      <c r="P9" s="41" t="s">
        <v>73</v>
      </c>
      <c r="Q9" s="41" t="s">
        <v>74</v>
      </c>
      <c r="R9" s="41" t="str">
        <f t="shared" si="1"/>
        <v/>
      </c>
    </row>
    <row r="10" spans="1:18">
      <c r="A10" s="41"/>
      <c r="B10" s="41"/>
      <c r="C10" s="97" t="s">
        <v>85</v>
      </c>
      <c r="D10" s="41"/>
      <c r="E10" s="41"/>
      <c r="F10" s="41"/>
      <c r="G10" s="41"/>
      <c r="H10" s="41"/>
      <c r="I10" s="41"/>
      <c r="J10" s="41"/>
      <c r="K10" s="41"/>
      <c r="L10" s="41"/>
      <c r="M10" s="41" t="str">
        <f>IF(Harmonogram!J76&lt;&gt;(Harmonogram!$H$9-Harmonogram!$H$10),"Wartość wydatków bieżących musi równać się wartości dofinansowania pomniejszonej o wydatki majątkowe z części informacyjnej projektu.  ","")</f>
        <v/>
      </c>
      <c r="N10" s="41">
        <f t="shared" si="0"/>
        <v>0</v>
      </c>
      <c r="O10" s="41">
        <f t="shared" si="2"/>
        <v>0</v>
      </c>
      <c r="P10" s="41" t="s">
        <v>73</v>
      </c>
      <c r="Q10" s="41" t="s">
        <v>74</v>
      </c>
      <c r="R10" s="41" t="str">
        <f t="shared" si="1"/>
        <v/>
      </c>
    </row>
    <row r="11" spans="1:18">
      <c r="A11" s="41"/>
      <c r="B11" s="41"/>
      <c r="C11" s="97" t="s">
        <v>86</v>
      </c>
      <c r="D11" s="41"/>
      <c r="E11" s="41"/>
      <c r="F11" s="41"/>
      <c r="G11" s="41"/>
      <c r="H11" s="41"/>
      <c r="I11" s="41"/>
      <c r="J11" s="41"/>
      <c r="K11" s="41"/>
      <c r="L11" s="41"/>
      <c r="M11" s="41" t="str">
        <f>IF(Harmonogram!K76&lt;&gt;Harmonogram!$H$10,"Wartość wydatków majątkowych musi równać się ich wartości z części informacyjnej projektu.  ","")</f>
        <v/>
      </c>
      <c r="N11" s="41">
        <f t="shared" si="0"/>
        <v>0</v>
      </c>
      <c r="O11" s="41">
        <f t="shared" si="2"/>
        <v>0</v>
      </c>
      <c r="P11" s="41" t="s">
        <v>73</v>
      </c>
      <c r="Q11" s="41" t="s">
        <v>74</v>
      </c>
      <c r="R11" s="41" t="str">
        <f t="shared" si="1"/>
        <v/>
      </c>
    </row>
    <row r="12" spans="1:18">
      <c r="A12" s="41"/>
      <c r="B12" s="41"/>
      <c r="C12" s="97" t="s">
        <v>87</v>
      </c>
      <c r="D12" s="41"/>
      <c r="E12" s="41"/>
      <c r="F12" s="41"/>
      <c r="G12" s="41"/>
      <c r="H12" s="41"/>
      <c r="I12" s="41"/>
      <c r="J12" s="41"/>
      <c r="K12" s="41"/>
      <c r="L12" s="41"/>
      <c r="M12" s="41" t="str">
        <f>IF(Harmonogram!O76&lt;&gt;(Harmonogram!$H$9-Harmonogram!$H$10),"Wartość wydatków bieżących musi równać się wartości dofinansowania pomniejszonego o wydatki majątkowe z części informacyjnej projektu.  ","")</f>
        <v/>
      </c>
      <c r="N12" s="41">
        <f t="shared" si="0"/>
        <v>0</v>
      </c>
      <c r="O12" s="41">
        <f t="shared" si="2"/>
        <v>0</v>
      </c>
      <c r="P12" s="41" t="s">
        <v>73</v>
      </c>
      <c r="Q12" s="41" t="s">
        <v>74</v>
      </c>
      <c r="R12" s="41" t="str">
        <f t="shared" si="1"/>
        <v/>
      </c>
    </row>
    <row r="13" spans="1:18">
      <c r="A13" s="41"/>
      <c r="B13" s="41"/>
      <c r="C13" s="97" t="s">
        <v>88</v>
      </c>
      <c r="D13" s="41"/>
      <c r="E13" s="41"/>
      <c r="F13" s="41"/>
      <c r="G13" s="41"/>
      <c r="H13" s="41"/>
      <c r="I13" s="41"/>
      <c r="J13" s="41"/>
      <c r="K13" s="41"/>
      <c r="L13" s="41"/>
      <c r="M13" s="41" t="str">
        <f>IF(Harmonogram!P76&lt;&gt;Harmonogram!$H$10,"Wartość wydatków majątkowych musi równać się jej wartości z części informacyjnej projektu.  ","")</f>
        <v/>
      </c>
      <c r="N13" s="41">
        <f t="shared" si="0"/>
        <v>0</v>
      </c>
      <c r="O13" s="41">
        <f t="shared" si="2"/>
        <v>0</v>
      </c>
      <c r="P13" s="41" t="s">
        <v>73</v>
      </c>
      <c r="Q13" s="41" t="s">
        <v>74</v>
      </c>
      <c r="R13" s="41" t="str">
        <f t="shared" si="1"/>
        <v/>
      </c>
    </row>
    <row r="14" spans="1:18">
      <c r="A14" s="41"/>
      <c r="B14" s="41"/>
      <c r="C14" s="97" t="s">
        <v>89</v>
      </c>
      <c r="D14" s="41"/>
      <c r="E14" s="41"/>
      <c r="F14" s="41"/>
      <c r="G14" s="41"/>
      <c r="H14" s="41"/>
      <c r="I14" s="41"/>
      <c r="J14" s="41"/>
      <c r="K14" s="41"/>
      <c r="L14" s="41"/>
      <c r="M14" s="98" t="str">
        <f>IF(Harmonogram!AS76&gt;0,"Okres rozliczeniowy nie może przekroczyć 3 miesięcy.  ","")</f>
        <v/>
      </c>
      <c r="N14" s="41">
        <f t="shared" si="0"/>
        <v>0</v>
      </c>
      <c r="O14" s="41">
        <f t="shared" si="2"/>
        <v>0</v>
      </c>
      <c r="P14" s="41" t="s">
        <v>73</v>
      </c>
      <c r="Q14" s="41" t="s">
        <v>74</v>
      </c>
      <c r="R14" s="41" t="str">
        <f t="shared" si="1"/>
        <v/>
      </c>
    </row>
    <row r="15" spans="1:18">
      <c r="A15" s="41"/>
      <c r="B15" s="41"/>
      <c r="C15" s="97"/>
      <c r="D15" s="41"/>
      <c r="E15" s="41"/>
      <c r="F15" s="41"/>
      <c r="G15" s="41"/>
      <c r="H15" s="41"/>
      <c r="I15" s="41"/>
      <c r="J15" s="41"/>
      <c r="K15" s="41"/>
      <c r="L15" s="41"/>
      <c r="M15" s="41" t="str">
        <f>IF((Harmonogram!Z76)&gt;0,"W conajmniej jednym okresie rozliczeniowym brak możliwości wnioskowania o płatność zaliczkową - brak rozliczenia 70% otrzymanych środków (narastająco).  ","")</f>
        <v/>
      </c>
      <c r="N15" s="41">
        <f t="shared" si="0"/>
        <v>0</v>
      </c>
      <c r="O15" s="41">
        <f t="shared" si="2"/>
        <v>0</v>
      </c>
      <c r="P15" s="41" t="s">
        <v>73</v>
      </c>
      <c r="Q15" s="41" t="s">
        <v>74</v>
      </c>
      <c r="R15" s="41" t="str">
        <f t="shared" si="1"/>
        <v/>
      </c>
    </row>
    <row r="16" spans="1:18">
      <c r="A16" s="41"/>
      <c r="B16" s="41"/>
      <c r="C16" s="97"/>
      <c r="D16" s="41"/>
      <c r="E16" s="41"/>
      <c r="F16" s="41"/>
      <c r="G16" s="41"/>
      <c r="H16" s="41"/>
      <c r="I16" s="41"/>
      <c r="J16" s="41"/>
      <c r="K16" s="41"/>
      <c r="L16" s="41"/>
      <c r="M16" s="41" t="str">
        <f>IF((Harmonogram!AC76)&lt;0,"Koniec roku musi kończyć okres rozliczeniowy.  ","")</f>
        <v/>
      </c>
      <c r="N16" s="41">
        <f t="shared" si="0"/>
        <v>0</v>
      </c>
      <c r="O16" s="41">
        <f t="shared" si="2"/>
        <v>0</v>
      </c>
      <c r="P16" s="41" t="s">
        <v>73</v>
      </c>
      <c r="Q16" s="41" t="s">
        <v>74</v>
      </c>
      <c r="R16" s="41" t="str">
        <f t="shared" si="1"/>
        <v/>
      </c>
    </row>
    <row r="17" spans="3:18">
      <c r="C17" s="97" t="s">
        <v>90</v>
      </c>
      <c r="D17" s="41"/>
      <c r="E17" s="41"/>
      <c r="F17" s="41"/>
      <c r="G17" s="41"/>
      <c r="H17" s="41"/>
      <c r="I17" s="41"/>
      <c r="J17" s="41"/>
      <c r="K17" s="41"/>
      <c r="L17" s="41"/>
      <c r="M17" s="41" t="str">
        <f>IF((Harmonogram!AT76)&gt;0,"Nie możesz wnioskować o kwotę zaliczki w ostatnim okresie rozliczeniowym.  ","")</f>
        <v/>
      </c>
      <c r="N17" s="41">
        <f t="shared" si="0"/>
        <v>0</v>
      </c>
      <c r="O17" s="41">
        <f t="shared" si="2"/>
        <v>0</v>
      </c>
      <c r="P17" s="41" t="s">
        <v>73</v>
      </c>
      <c r="Q17" s="41" t="s">
        <v>74</v>
      </c>
      <c r="R17" s="41" t="str">
        <f t="shared" si="1"/>
        <v/>
      </c>
    </row>
    <row r="18" spans="3:18">
      <c r="C18" s="97"/>
      <c r="D18" s="41"/>
      <c r="E18" s="41"/>
      <c r="F18" s="41"/>
      <c r="G18" s="41"/>
      <c r="H18" s="41"/>
      <c r="I18" s="41"/>
      <c r="J18" s="41"/>
      <c r="K18" s="41"/>
      <c r="L18" s="41"/>
      <c r="M18" s="41" t="str">
        <f>IF((Harmonogram!X77)=0,"Wartość rozliczanych europejskich środków bieżących jest niezgodna z odpowiadającą jej kwotą środków wnioskowanych.  ","")</f>
        <v/>
      </c>
      <c r="N18" s="41">
        <f t="shared" si="0"/>
        <v>0</v>
      </c>
      <c r="O18" s="41">
        <f t="shared" si="2"/>
        <v>0</v>
      </c>
      <c r="P18" s="41" t="s">
        <v>73</v>
      </c>
      <c r="Q18" s="41" t="s">
        <v>74</v>
      </c>
      <c r="R18" s="41" t="str">
        <f t="shared" si="1"/>
        <v/>
      </c>
    </row>
    <row r="19" spans="3:18">
      <c r="C19" s="97"/>
      <c r="D19" s="41"/>
      <c r="E19" s="41"/>
      <c r="F19" s="41"/>
      <c r="G19" s="41"/>
      <c r="H19" s="41"/>
      <c r="I19" s="41"/>
      <c r="J19" s="41"/>
      <c r="K19" s="41"/>
      <c r="L19" s="41"/>
      <c r="M19" s="41" t="str">
        <f>IF((Harmonogram!Y77)=0,"Wartość rozliczanych środków bieżących w ramach budżetu państwa jest niezgodna z odpowiadającą jej kwotą środków wnioskowanych.  ","")</f>
        <v/>
      </c>
      <c r="N19" s="41">
        <f t="shared" si="0"/>
        <v>0</v>
      </c>
      <c r="O19" s="41">
        <f t="shared" si="2"/>
        <v>0</v>
      </c>
      <c r="P19" s="41" t="s">
        <v>73</v>
      </c>
      <c r="Q19" s="41" t="s">
        <v>74</v>
      </c>
      <c r="R19" s="41" t="str">
        <f t="shared" si="1"/>
        <v/>
      </c>
    </row>
    <row r="20" spans="3:18">
      <c r="C20" s="97"/>
      <c r="D20" s="41"/>
      <c r="E20" s="41"/>
      <c r="F20" s="41"/>
      <c r="G20" s="41"/>
      <c r="H20" s="41"/>
      <c r="I20" s="41"/>
      <c r="J20" s="41"/>
      <c r="K20" s="41"/>
      <c r="L20" s="41"/>
      <c r="M20" s="41" t="str">
        <f>IF((Harmonogram!X78)=0,"Wartość rozliczanych europejskich środków majątkowych jest niezgodna z odpowiadającą jej kwotą środków wnioskowanych.  ","")</f>
        <v/>
      </c>
      <c r="N20" s="41">
        <f t="shared" si="0"/>
        <v>0</v>
      </c>
      <c r="O20" s="41">
        <f t="shared" si="2"/>
        <v>0</v>
      </c>
      <c r="P20" s="41" t="s">
        <v>73</v>
      </c>
      <c r="Q20" s="41" t="s">
        <v>74</v>
      </c>
      <c r="R20" s="41" t="str">
        <f t="shared" si="1"/>
        <v/>
      </c>
    </row>
    <row r="21" spans="3:18">
      <c r="C21" s="97"/>
      <c r="D21" s="41"/>
      <c r="E21" s="41"/>
      <c r="F21" s="41"/>
      <c r="G21" s="41"/>
      <c r="H21" s="41"/>
      <c r="I21" s="41"/>
      <c r="J21" s="41"/>
      <c r="K21" s="41"/>
      <c r="L21" s="41"/>
      <c r="M21" s="41" t="str">
        <f>IF((Harmonogram!Y78)=0,"Wartość rozliczanych środków majątkowych w ramach budżetu państwa jest niezgodna z odpowiadającą jej kwotą środków wnioskowanych.  ","")</f>
        <v/>
      </c>
      <c r="N21" s="41">
        <f t="shared" si="0"/>
        <v>0</v>
      </c>
      <c r="O21" s="41">
        <f t="shared" si="2"/>
        <v>0</v>
      </c>
      <c r="P21" s="41" t="s">
        <v>73</v>
      </c>
      <c r="Q21" s="41" t="s">
        <v>74</v>
      </c>
      <c r="R21" s="41" t="str">
        <f t="shared" si="1"/>
        <v/>
      </c>
    </row>
    <row r="22" spans="3:18" ht="15">
      <c r="C22" s="97" t="s">
        <v>91</v>
      </c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99">
        <f>SUM(N2:N21)</f>
        <v>0</v>
      </c>
      <c r="O22" s="41"/>
      <c r="P22" s="41"/>
      <c r="Q22" s="41"/>
      <c r="R22" s="41"/>
    </row>
    <row r="23" spans="3:18">
      <c r="C23" s="97" t="s">
        <v>92</v>
      </c>
      <c r="D23" s="41"/>
      <c r="E23" s="41"/>
      <c r="F23" s="41"/>
      <c r="G23" s="41"/>
      <c r="H23" s="41"/>
      <c r="I23" s="41"/>
      <c r="J23" s="41"/>
      <c r="K23" s="41"/>
      <c r="L23" s="41"/>
      <c r="M23" s="41" t="str">
        <f>CONCATENATE(R2,R3,R4,R5,R6,R7,R8,R9,R10,R11,R12,R13,R14,R15,R16,R17,R18,R19,R20,R21)</f>
        <v/>
      </c>
      <c r="N23" s="41"/>
      <c r="O23" s="41"/>
      <c r="P23" s="41"/>
      <c r="Q23" s="41"/>
      <c r="R23" s="41"/>
    </row>
    <row r="24" spans="3:18">
      <c r="C24" s="97" t="s">
        <v>93</v>
      </c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</row>
    <row r="25" spans="3:18">
      <c r="C25" s="97" t="s">
        <v>94</v>
      </c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</row>
    <row r="26" spans="3:18">
      <c r="C26" s="97" t="s">
        <v>95</v>
      </c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</row>
    <row r="27" spans="3:18">
      <c r="C27" s="97" t="s">
        <v>96</v>
      </c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</row>
    <row r="28" spans="3:18">
      <c r="C28" s="97" t="s">
        <v>97</v>
      </c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</row>
    <row r="29" spans="3:18">
      <c r="C29" s="97" t="s">
        <v>98</v>
      </c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</row>
    <row r="30" spans="3:18">
      <c r="C30" s="97" t="s">
        <v>99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</row>
    <row r="31" spans="3:18">
      <c r="C31" s="97" t="s">
        <v>100</v>
      </c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</row>
    <row r="32" spans="3:18">
      <c r="C32" s="97" t="s">
        <v>101</v>
      </c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</row>
    <row r="33" spans="3:3">
      <c r="C33" s="97" t="s">
        <v>102</v>
      </c>
    </row>
    <row r="34" spans="3:3">
      <c r="C34" s="97" t="s">
        <v>103</v>
      </c>
    </row>
    <row r="35" spans="3:3">
      <c r="C35" s="97" t="s">
        <v>104</v>
      </c>
    </row>
    <row r="36" spans="3:3">
      <c r="C36" s="97" t="s">
        <v>105</v>
      </c>
    </row>
    <row r="37" spans="3:3">
      <c r="C37" s="97" t="s">
        <v>106</v>
      </c>
    </row>
    <row r="38" spans="3:3">
      <c r="C38" s="97" t="s">
        <v>107</v>
      </c>
    </row>
    <row r="39" spans="3:3">
      <c r="C39" s="97" t="s">
        <v>108</v>
      </c>
    </row>
    <row r="40" spans="3:3">
      <c r="C40" s="97" t="s">
        <v>109</v>
      </c>
    </row>
    <row r="41" spans="3:3">
      <c r="C41" s="97" t="s">
        <v>110</v>
      </c>
    </row>
    <row r="42" spans="3:3">
      <c r="C42" s="97" t="s">
        <v>111</v>
      </c>
    </row>
    <row r="43" spans="3:3">
      <c r="C43" s="97" t="s">
        <v>112</v>
      </c>
    </row>
    <row r="44" spans="3:3">
      <c r="C44" s="97" t="s">
        <v>113</v>
      </c>
    </row>
    <row r="45" spans="3:3">
      <c r="C45" s="97" t="s">
        <v>114</v>
      </c>
    </row>
    <row r="46" spans="3:3">
      <c r="C46" s="97" t="s">
        <v>115</v>
      </c>
    </row>
    <row r="47" spans="3:3">
      <c r="C47" s="97" t="s">
        <v>116</v>
      </c>
    </row>
    <row r="48" spans="3:3">
      <c r="C48" s="97" t="s">
        <v>117</v>
      </c>
    </row>
    <row r="49" spans="3:3">
      <c r="C49" s="97" t="s">
        <v>118</v>
      </c>
    </row>
    <row r="50" spans="3:3">
      <c r="C50" s="97" t="s">
        <v>119</v>
      </c>
    </row>
    <row r="51" spans="3:3">
      <c r="C51" s="97" t="s">
        <v>120</v>
      </c>
    </row>
    <row r="52" spans="3:3">
      <c r="C52" s="97" t="s">
        <v>121</v>
      </c>
    </row>
    <row r="53" spans="3:3">
      <c r="C53" s="97" t="s">
        <v>122</v>
      </c>
    </row>
    <row r="54" spans="3:3">
      <c r="C54" s="97" t="s">
        <v>123</v>
      </c>
    </row>
    <row r="55" spans="3:3">
      <c r="C55" s="97" t="s">
        <v>124</v>
      </c>
    </row>
    <row r="56" spans="3:3">
      <c r="C56" s="97" t="s">
        <v>125</v>
      </c>
    </row>
    <row r="57" spans="3:3">
      <c r="C57" s="97" t="s">
        <v>126</v>
      </c>
    </row>
    <row r="58" spans="3:3">
      <c r="C58" s="97" t="s">
        <v>127</v>
      </c>
    </row>
    <row r="59" spans="3:3">
      <c r="C59" s="97" t="s">
        <v>128</v>
      </c>
    </row>
    <row r="60" spans="3:3">
      <c r="C60" s="97" t="s">
        <v>129</v>
      </c>
    </row>
    <row r="61" spans="3:3">
      <c r="C61" s="97" t="s">
        <v>130</v>
      </c>
    </row>
    <row r="62" spans="3:3">
      <c r="C62" s="97" t="s">
        <v>131</v>
      </c>
    </row>
    <row r="63" spans="3:3">
      <c r="C63" s="97" t="s">
        <v>132</v>
      </c>
    </row>
    <row r="64" spans="3:3">
      <c r="C64" s="97" t="s">
        <v>133</v>
      </c>
    </row>
    <row r="65" spans="3:3">
      <c r="C65" s="97" t="s">
        <v>134</v>
      </c>
    </row>
    <row r="66" spans="3:3">
      <c r="C66" s="97" t="s">
        <v>135</v>
      </c>
    </row>
    <row r="67" spans="3:3">
      <c r="C67" s="97" t="s">
        <v>136</v>
      </c>
    </row>
    <row r="68" spans="3:3">
      <c r="C68" s="97" t="s">
        <v>137</v>
      </c>
    </row>
    <row r="69" spans="3:3">
      <c r="C69" s="97" t="s">
        <v>138</v>
      </c>
    </row>
    <row r="70" spans="3:3">
      <c r="C70" s="97" t="s">
        <v>139</v>
      </c>
    </row>
    <row r="71" spans="3:3">
      <c r="C71" s="97" t="s">
        <v>140</v>
      </c>
    </row>
    <row r="72" spans="3:3">
      <c r="C72" s="97" t="s">
        <v>141</v>
      </c>
    </row>
    <row r="73" spans="3:3">
      <c r="C73" s="97" t="s">
        <v>142</v>
      </c>
    </row>
    <row r="74" spans="3:3">
      <c r="C74" s="97" t="s">
        <v>143</v>
      </c>
    </row>
    <row r="75" spans="3:3">
      <c r="C75" s="97" t="s">
        <v>144</v>
      </c>
    </row>
    <row r="76" spans="3:3">
      <c r="C76" s="97" t="s">
        <v>145</v>
      </c>
    </row>
    <row r="77" spans="3:3">
      <c r="C77" s="97" t="s">
        <v>146</v>
      </c>
    </row>
    <row r="78" spans="3:3">
      <c r="C78" s="97" t="s">
        <v>147</v>
      </c>
    </row>
    <row r="79" spans="3:3">
      <c r="C79" s="97" t="s">
        <v>148</v>
      </c>
    </row>
    <row r="80" spans="3:3">
      <c r="C80" s="97" t="s">
        <v>149</v>
      </c>
    </row>
    <row r="81" spans="3:3">
      <c r="C81" s="97" t="s">
        <v>150</v>
      </c>
    </row>
    <row r="82" spans="3:3">
      <c r="C82" s="97" t="s">
        <v>151</v>
      </c>
    </row>
    <row r="83" spans="3:3">
      <c r="C83" s="97" t="s">
        <v>152</v>
      </c>
    </row>
    <row r="84" spans="3:3">
      <c r="C84" s="97" t="s">
        <v>153</v>
      </c>
    </row>
    <row r="85" spans="3:3">
      <c r="C85" s="97" t="s">
        <v>154</v>
      </c>
    </row>
    <row r="86" spans="3:3">
      <c r="C86" s="97" t="s">
        <v>155</v>
      </c>
    </row>
    <row r="87" spans="3:3">
      <c r="C87" s="97" t="s">
        <v>156</v>
      </c>
    </row>
    <row r="88" spans="3:3">
      <c r="C88" s="97" t="s">
        <v>157</v>
      </c>
    </row>
    <row r="89" spans="3:3">
      <c r="C89" s="97" t="s">
        <v>158</v>
      </c>
    </row>
    <row r="90" spans="3:3">
      <c r="C90" s="97" t="s">
        <v>159</v>
      </c>
    </row>
    <row r="91" spans="3:3">
      <c r="C91" s="97" t="s">
        <v>160</v>
      </c>
    </row>
    <row r="92" spans="3:3">
      <c r="C92" s="97" t="s">
        <v>161</v>
      </c>
    </row>
    <row r="93" spans="3:3">
      <c r="C93" s="97" t="s">
        <v>162</v>
      </c>
    </row>
    <row r="94" spans="3:3">
      <c r="C94" s="97" t="s">
        <v>163</v>
      </c>
    </row>
    <row r="95" spans="3:3">
      <c r="C95" s="97" t="s">
        <v>164</v>
      </c>
    </row>
    <row r="96" spans="3:3">
      <c r="C96" s="97" t="s">
        <v>165</v>
      </c>
    </row>
    <row r="97" spans="3:3">
      <c r="C97" s="97" t="s">
        <v>166</v>
      </c>
    </row>
    <row r="98" spans="3:3">
      <c r="C98" s="97" t="s">
        <v>167</v>
      </c>
    </row>
    <row r="99" spans="3:3">
      <c r="C99" s="97" t="s">
        <v>168</v>
      </c>
    </row>
    <row r="100" spans="3:3">
      <c r="C100" s="97" t="s">
        <v>169</v>
      </c>
    </row>
    <row r="101" spans="3:3">
      <c r="C101" s="97" t="s">
        <v>170</v>
      </c>
    </row>
    <row r="102" spans="3:3">
      <c r="C102" s="97" t="s">
        <v>171</v>
      </c>
    </row>
    <row r="103" spans="3:3">
      <c r="C103" s="97" t="s">
        <v>172</v>
      </c>
    </row>
    <row r="104" spans="3:3">
      <c r="C104" s="97" t="s">
        <v>173</v>
      </c>
    </row>
    <row r="105" spans="3:3">
      <c r="C105" s="97" t="s">
        <v>174</v>
      </c>
    </row>
    <row r="106" spans="3:3">
      <c r="C106" s="97" t="s">
        <v>175</v>
      </c>
    </row>
    <row r="107" spans="3:3">
      <c r="C107" s="97" t="s">
        <v>176</v>
      </c>
    </row>
    <row r="108" spans="3:3">
      <c r="C108" s="97" t="s">
        <v>177</v>
      </c>
    </row>
    <row r="109" spans="3:3">
      <c r="C109" s="97" t="s">
        <v>178</v>
      </c>
    </row>
    <row r="110" spans="3:3">
      <c r="C110" s="97" t="s">
        <v>179</v>
      </c>
    </row>
    <row r="111" spans="3:3">
      <c r="C111" s="97" t="s">
        <v>180</v>
      </c>
    </row>
    <row r="112" spans="3:3">
      <c r="C112" s="97" t="s">
        <v>181</v>
      </c>
    </row>
    <row r="113" spans="3:3">
      <c r="C113" s="97" t="s">
        <v>182</v>
      </c>
    </row>
    <row r="114" spans="3:3">
      <c r="C114" s="97" t="s">
        <v>183</v>
      </c>
    </row>
    <row r="115" spans="3:3">
      <c r="C115" s="97" t="s">
        <v>184</v>
      </c>
    </row>
    <row r="116" spans="3:3">
      <c r="C116" s="97" t="s">
        <v>185</v>
      </c>
    </row>
    <row r="117" spans="3:3">
      <c r="C117" s="97" t="s">
        <v>186</v>
      </c>
    </row>
    <row r="118" spans="3:3">
      <c r="C118" s="97" t="s">
        <v>187</v>
      </c>
    </row>
    <row r="119" spans="3:3">
      <c r="C119" s="97" t="s">
        <v>188</v>
      </c>
    </row>
    <row r="120" spans="3:3">
      <c r="C120" s="97" t="s">
        <v>189</v>
      </c>
    </row>
    <row r="121" spans="3:3">
      <c r="C121" s="97" t="s">
        <v>190</v>
      </c>
    </row>
    <row r="122" spans="3:3">
      <c r="C122" s="97" t="s">
        <v>191</v>
      </c>
    </row>
    <row r="123" spans="3:3">
      <c r="C123" s="97" t="s">
        <v>192</v>
      </c>
    </row>
    <row r="124" spans="3:3">
      <c r="C124" s="97" t="s">
        <v>193</v>
      </c>
    </row>
    <row r="125" spans="3:3">
      <c r="C125" s="97" t="s">
        <v>194</v>
      </c>
    </row>
    <row r="126" spans="3:3">
      <c r="C126" s="97" t="s">
        <v>195</v>
      </c>
    </row>
    <row r="127" spans="3:3">
      <c r="C127" s="97" t="s">
        <v>196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F19:I34"/>
  <sheetViews>
    <sheetView zoomScale="85" zoomScaleNormal="85" workbookViewId="0">
      <selection activeCell="I33" sqref="I33"/>
    </sheetView>
  </sheetViews>
  <sheetFormatPr defaultColWidth="8.625" defaultRowHeight="14.25"/>
  <cols>
    <col min="8" max="8" width="12.375" customWidth="1"/>
    <col min="9" max="9" width="13.125" customWidth="1"/>
  </cols>
  <sheetData>
    <row r="19" spans="6:9">
      <c r="F19" s="100">
        <v>81526</v>
      </c>
      <c r="G19" s="41">
        <v>0.89470000000000005</v>
      </c>
      <c r="H19" s="101">
        <f t="shared" ref="H19:H34" si="0">F19*G19</f>
        <v>72941.3122</v>
      </c>
      <c r="I19" s="101">
        <f>ROUND(H19,2)</f>
        <v>72941.31</v>
      </c>
    </row>
    <row r="20" spans="6:9">
      <c r="F20" s="100">
        <v>81526</v>
      </c>
      <c r="G20" s="41">
        <v>0.1053</v>
      </c>
      <c r="H20" s="101">
        <f t="shared" si="0"/>
        <v>8584.6877999999997</v>
      </c>
      <c r="I20" s="101">
        <f>ROUND(H20,2)</f>
        <v>8584.69</v>
      </c>
    </row>
    <row r="21" spans="6:9">
      <c r="F21" s="102">
        <v>184362</v>
      </c>
      <c r="G21" s="41">
        <v>0.89470000000000005</v>
      </c>
      <c r="H21" s="101">
        <f t="shared" si="0"/>
        <v>164948.6814</v>
      </c>
      <c r="I21" s="101">
        <v>164948.68</v>
      </c>
    </row>
    <row r="22" spans="6:9">
      <c r="F22" s="102">
        <v>184362</v>
      </c>
      <c r="G22" s="41">
        <v>0.1053</v>
      </c>
      <c r="H22" s="101">
        <f t="shared" si="0"/>
        <v>19413.318600000002</v>
      </c>
      <c r="I22" s="101">
        <v>19413.32</v>
      </c>
    </row>
    <row r="23" spans="6:9">
      <c r="F23" s="102">
        <v>127987</v>
      </c>
      <c r="G23" s="41">
        <v>0.89470000000000005</v>
      </c>
      <c r="H23" s="101">
        <f t="shared" si="0"/>
        <v>114509.96890000001</v>
      </c>
      <c r="I23" s="101">
        <v>114509.97</v>
      </c>
    </row>
    <row r="24" spans="6:9">
      <c r="F24" s="102">
        <v>127987</v>
      </c>
      <c r="G24" s="41">
        <v>0.1053</v>
      </c>
      <c r="H24" s="101">
        <f t="shared" si="0"/>
        <v>13477.0311</v>
      </c>
      <c r="I24" s="101">
        <v>13477.03</v>
      </c>
    </row>
    <row r="25" spans="6:9">
      <c r="F25" s="102">
        <v>106742</v>
      </c>
      <c r="G25" s="41">
        <v>0.89470000000000005</v>
      </c>
      <c r="H25" s="101">
        <f t="shared" si="0"/>
        <v>95502.0674</v>
      </c>
      <c r="I25" s="101">
        <v>95502.07</v>
      </c>
    </row>
    <row r="26" spans="6:9">
      <c r="F26" s="102">
        <v>106742</v>
      </c>
      <c r="G26" s="41">
        <v>0.1053</v>
      </c>
      <c r="H26" s="101">
        <f t="shared" si="0"/>
        <v>11239.9326</v>
      </c>
      <c r="I26" s="101">
        <v>11239.93</v>
      </c>
    </row>
    <row r="27" spans="6:9">
      <c r="F27" s="102">
        <v>113215</v>
      </c>
      <c r="G27" s="41">
        <v>0.89470000000000005</v>
      </c>
      <c r="H27" s="101">
        <f t="shared" si="0"/>
        <v>101293.4605</v>
      </c>
      <c r="I27" s="101">
        <v>101293.46</v>
      </c>
    </row>
    <row r="28" spans="6:9">
      <c r="F28" s="102">
        <v>113215</v>
      </c>
      <c r="G28" s="41">
        <v>0.1053</v>
      </c>
      <c r="H28" s="101">
        <f t="shared" si="0"/>
        <v>11921.539500000001</v>
      </c>
      <c r="I28" s="101">
        <v>11921.54</v>
      </c>
    </row>
    <row r="29" spans="6:9">
      <c r="F29" s="102">
        <v>103987</v>
      </c>
      <c r="G29" s="41">
        <v>0.89470000000000005</v>
      </c>
      <c r="H29" s="101">
        <f t="shared" si="0"/>
        <v>93037.168900000004</v>
      </c>
      <c r="I29" s="101">
        <v>93037.17</v>
      </c>
    </row>
    <row r="30" spans="6:9">
      <c r="F30" s="102">
        <v>103987</v>
      </c>
      <c r="G30" s="41">
        <v>0.1053</v>
      </c>
      <c r="H30" s="101">
        <f t="shared" si="0"/>
        <v>10949.831100000001</v>
      </c>
      <c r="I30" s="101">
        <v>10949.83</v>
      </c>
    </row>
    <row r="31" spans="6:9">
      <c r="F31" s="102">
        <v>94653</v>
      </c>
      <c r="G31" s="41">
        <v>0.89470000000000005</v>
      </c>
      <c r="H31" s="101">
        <f t="shared" si="0"/>
        <v>84686.039100000009</v>
      </c>
      <c r="I31" s="101">
        <v>84686.04</v>
      </c>
    </row>
    <row r="32" spans="6:9">
      <c r="F32" s="102">
        <v>94653</v>
      </c>
      <c r="G32" s="41">
        <v>0.1053</v>
      </c>
      <c r="H32" s="101">
        <f t="shared" si="0"/>
        <v>9966.9609</v>
      </c>
      <c r="I32" s="101">
        <v>9966.9599999999991</v>
      </c>
    </row>
    <row r="33" spans="6:9">
      <c r="F33" s="102">
        <v>63583.03</v>
      </c>
      <c r="G33" s="41">
        <v>0.89470000000000005</v>
      </c>
      <c r="H33" s="101">
        <f t="shared" si="0"/>
        <v>56887.736941000003</v>
      </c>
      <c r="I33" s="101">
        <v>56887.74</v>
      </c>
    </row>
    <row r="34" spans="6:9">
      <c r="F34" s="102">
        <v>63583.03</v>
      </c>
      <c r="G34" s="41">
        <v>0.1053</v>
      </c>
      <c r="H34" s="101">
        <f t="shared" si="0"/>
        <v>6695.2930590000005</v>
      </c>
      <c r="I34" s="101">
        <v>6695.29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A1F3B16C8C704DA37A63ACA9CA61DD" ma:contentTypeVersion="10" ma:contentTypeDescription="Utwórz nowy dokument." ma:contentTypeScope="" ma:versionID="2c1589618213e40baab2c2a6c221b6a0">
  <xsd:schema xmlns:xsd="http://www.w3.org/2001/XMLSchema" xmlns:xs="http://www.w3.org/2001/XMLSchema" xmlns:p="http://schemas.microsoft.com/office/2006/metadata/properties" xmlns:ns3="d47a4560-aee9-43e8-973f-2abd655c26a0" xmlns:ns4="d4f64a22-a125-4b7a-afce-4a30c86a8f7c" targetNamespace="http://schemas.microsoft.com/office/2006/metadata/properties" ma:root="true" ma:fieldsID="7dfde34671e7413e9c00e2a91237744c" ns3:_="" ns4:_="">
    <xsd:import namespace="d47a4560-aee9-43e8-973f-2abd655c26a0"/>
    <xsd:import namespace="d4f64a22-a125-4b7a-afce-4a30c86a8f7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7a4560-aee9-43e8-973f-2abd655c26a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f64a22-a125-4b7a-afce-4a30c86a8f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18B5D3-CB45-4D02-840E-2EABE90576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7a4560-aee9-43e8-973f-2abd655c26a0"/>
    <ds:schemaRef ds:uri="d4f64a22-a125-4b7a-afce-4a30c86a8f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377B12-A455-468E-93C9-FC0C3C7906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A1377A-017C-45E7-9159-1A7959CD8D79}">
  <ds:schemaRefs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4f64a22-a125-4b7a-afce-4a30c86a8f7c"/>
    <ds:schemaRef ds:uri="d47a4560-aee9-43e8-973f-2abd655c26a0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Harmonogram</vt:lpstr>
      <vt:lpstr>dane pomocnicze</vt:lpstr>
      <vt:lpstr>Arkusz1</vt:lpstr>
      <vt:lpstr>kwartaly</vt:lpstr>
      <vt:lpstr>miesiące</vt:lpstr>
      <vt:lpstr>Harmonogram!Obszar_wydruku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Ola</dc:creator>
  <cp:keywords/>
  <dc:description/>
  <cp:lastModifiedBy>Katarzyna KS. Skowron</cp:lastModifiedBy>
  <cp:revision>4</cp:revision>
  <dcterms:created xsi:type="dcterms:W3CDTF">2015-03-13T17:47:07Z</dcterms:created>
  <dcterms:modified xsi:type="dcterms:W3CDTF">2020-12-23T11:12:26Z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0x0101002FA1F3B16C8C704DA37A63ACA9CA61DD</vt:lpwstr>
  </property>
</Properties>
</file>